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ABC0" lockStructure="1"/>
  <bookViews>
    <workbookView xWindow="-60" yWindow="-195" windowWidth="9585" windowHeight="11025" tabRatio="599"/>
  </bookViews>
  <sheets>
    <sheet name="Macrogegevens" sheetId="4" r:id="rId1"/>
    <sheet name="Balansprognose" sheetId="6" r:id="rId2"/>
    <sheet name="Investeringen &amp; financiering" sheetId="3" r:id="rId3"/>
    <sheet name="Inkomsten &amp; uitgaven" sheetId="1" r:id="rId4"/>
    <sheet name="Data macrogegevens" sheetId="8" state="hidden" r:id="rId5"/>
    <sheet name="Data bouwgrond" sheetId="7" state="hidden" r:id="rId6"/>
    <sheet name="Data inkomsten" sheetId="9" state="hidden" r:id="rId7"/>
  </sheets>
  <definedNames>
    <definedName name="_xlnm._FilterDatabase" localSheetId="0" hidden="1">Macrogegevens!$A$1:$C$19</definedName>
  </definedNames>
  <calcPr calcId="145621"/>
  <customWorkbookViews>
    <customWorkbookView name="Jan van der Lei  - Persoonlijke weergave" guid="{B41B624D-DA5C-4FA3-85F1-D5B8087B6A65}" mergeInterval="0" personalView="1" maximized="1" xWindow="1" yWindow="1" windowWidth="1676" windowHeight="832" activeSheetId="1"/>
  </customWorkbookViews>
</workbook>
</file>

<file path=xl/calcChain.xml><?xml version="1.0" encoding="utf-8"?>
<calcChain xmlns="http://schemas.openxmlformats.org/spreadsheetml/2006/main">
  <c r="O395" i="9" l="1"/>
  <c r="N395" i="9"/>
  <c r="M395" i="9"/>
  <c r="L395" i="9"/>
  <c r="K395" i="9"/>
  <c r="J395" i="9"/>
  <c r="I395" i="9"/>
  <c r="H395" i="9"/>
  <c r="G395" i="9"/>
  <c r="F395" i="9"/>
  <c r="E395" i="9"/>
  <c r="D395" i="9"/>
  <c r="C395" i="9"/>
  <c r="B395" i="9"/>
  <c r="M442" i="7"/>
  <c r="L442" i="7"/>
  <c r="K439" i="7"/>
  <c r="K441" i="7" s="1"/>
  <c r="K443" i="7" s="1"/>
  <c r="J439" i="7"/>
  <c r="J441" i="7" s="1"/>
  <c r="J443" i="7" s="1"/>
  <c r="I439" i="7"/>
  <c r="I441" i="7" s="1"/>
  <c r="I443" i="7" s="1"/>
  <c r="H439" i="7"/>
  <c r="H441" i="7" s="1"/>
  <c r="H443" i="7" s="1"/>
  <c r="G439" i="7"/>
  <c r="G441" i="7" s="1"/>
  <c r="G443" i="7" s="1"/>
  <c r="F439" i="7"/>
  <c r="F441" i="7" s="1"/>
  <c r="F443" i="7" s="1"/>
  <c r="E439" i="7"/>
  <c r="E441" i="7" s="1"/>
  <c r="E443" i="7" s="1"/>
  <c r="D439" i="7"/>
  <c r="D441" i="7" s="1"/>
  <c r="D443" i="7" s="1"/>
  <c r="C439" i="7"/>
  <c r="C441" i="7" s="1"/>
  <c r="C443" i="7" s="1"/>
  <c r="B439" i="7"/>
  <c r="B441" i="7" s="1"/>
  <c r="B443" i="7" s="1"/>
  <c r="M438" i="7"/>
  <c r="L438" i="7"/>
  <c r="M437" i="7"/>
  <c r="M439" i="7" s="1"/>
  <c r="M441" i="7" s="1"/>
  <c r="M443" i="7" s="1"/>
  <c r="L437" i="7"/>
  <c r="L439" i="7" s="1"/>
  <c r="L441" i="7" s="1"/>
  <c r="L443" i="7" s="1"/>
  <c r="K435" i="7"/>
  <c r="J435" i="7"/>
  <c r="I435" i="7"/>
  <c r="H435" i="7"/>
  <c r="G435" i="7"/>
  <c r="F435" i="7"/>
  <c r="E435" i="7"/>
  <c r="D435" i="7"/>
  <c r="C435" i="7"/>
  <c r="B435" i="7"/>
  <c r="M434" i="7"/>
  <c r="L434" i="7"/>
  <c r="M433" i="7"/>
  <c r="L433" i="7"/>
  <c r="M432" i="7"/>
  <c r="L432" i="7"/>
  <c r="M431" i="7"/>
  <c r="L431" i="7"/>
  <c r="M430" i="7"/>
  <c r="M435" i="7" s="1"/>
  <c r="L430" i="7"/>
  <c r="L435" i="7" s="1"/>
  <c r="K428" i="7"/>
  <c r="J428" i="7"/>
  <c r="I428" i="7"/>
  <c r="H428" i="7"/>
  <c r="G428" i="7"/>
  <c r="F428" i="7"/>
  <c r="E428" i="7"/>
  <c r="D428" i="7"/>
  <c r="C428" i="7"/>
  <c r="B428" i="7"/>
  <c r="M427" i="7"/>
  <c r="L427" i="7"/>
  <c r="M426" i="7"/>
  <c r="M428" i="7" s="1"/>
  <c r="L426" i="7"/>
  <c r="L428" i="7" s="1"/>
  <c r="K424" i="7"/>
  <c r="J424" i="7"/>
  <c r="I424" i="7"/>
  <c r="H424" i="7"/>
  <c r="G424" i="7"/>
  <c r="F424" i="7"/>
  <c r="E424" i="7"/>
  <c r="D424" i="7"/>
  <c r="C424" i="7"/>
  <c r="B424" i="7"/>
  <c r="M423" i="7"/>
  <c r="L423" i="7"/>
  <c r="M422" i="7"/>
  <c r="L422" i="7"/>
  <c r="M421" i="7"/>
  <c r="M424" i="7" s="1"/>
  <c r="L421" i="7"/>
  <c r="L424" i="7" s="1"/>
  <c r="K419" i="7"/>
  <c r="J419" i="7"/>
  <c r="I419" i="7"/>
  <c r="H419" i="7"/>
  <c r="G419" i="7"/>
  <c r="F419" i="7"/>
  <c r="E419" i="7"/>
  <c r="D419" i="7"/>
  <c r="C419" i="7"/>
  <c r="B419" i="7"/>
  <c r="M418" i="7"/>
  <c r="L418" i="7"/>
  <c r="M417" i="7"/>
  <c r="L417" i="7"/>
  <c r="M416" i="7"/>
  <c r="M419" i="7" s="1"/>
  <c r="L416" i="7"/>
  <c r="L419" i="7" s="1"/>
  <c r="E412" i="7"/>
  <c r="E414" i="7" s="1"/>
  <c r="D412" i="7"/>
  <c r="D414" i="7" s="1"/>
  <c r="G411" i="7"/>
  <c r="G413" i="7" s="1"/>
  <c r="F411" i="7"/>
  <c r="F413" i="7" s="1"/>
  <c r="E408" i="7"/>
  <c r="E410" i="7" s="1"/>
  <c r="D408" i="7"/>
  <c r="D410" i="7" s="1"/>
  <c r="G407" i="7"/>
  <c r="G409" i="7" s="1"/>
  <c r="F407" i="7"/>
  <c r="F409" i="7" s="1"/>
  <c r="E404" i="7"/>
  <c r="E406" i="7" s="1"/>
  <c r="D404" i="7"/>
  <c r="D406" i="7" s="1"/>
  <c r="G403" i="7"/>
  <c r="G405" i="7" s="1"/>
  <c r="F403" i="7"/>
  <c r="F405" i="7" s="1"/>
  <c r="E401" i="7"/>
  <c r="D401" i="7"/>
  <c r="G400" i="7"/>
  <c r="G402" i="7" s="1"/>
  <c r="F400" i="7"/>
  <c r="F402" i="7" s="1"/>
  <c r="K395" i="7"/>
  <c r="J395" i="7"/>
  <c r="I395" i="7"/>
  <c r="H395" i="7"/>
  <c r="G395" i="7"/>
  <c r="F395" i="7"/>
  <c r="E395" i="7"/>
  <c r="D395" i="7"/>
  <c r="C395" i="7"/>
  <c r="B395" i="7"/>
  <c r="M394" i="7"/>
  <c r="L394" i="7"/>
  <c r="M393" i="7"/>
  <c r="L393" i="7"/>
  <c r="M392" i="7"/>
  <c r="L392" i="7"/>
  <c r="M391" i="7"/>
  <c r="L391" i="7"/>
  <c r="M390" i="7"/>
  <c r="L390" i="7"/>
  <c r="M389" i="7"/>
  <c r="L389" i="7"/>
  <c r="M388" i="7"/>
  <c r="L388" i="7"/>
  <c r="M387" i="7"/>
  <c r="L387" i="7"/>
  <c r="M386" i="7"/>
  <c r="L386" i="7"/>
  <c r="M385" i="7"/>
  <c r="L385" i="7"/>
  <c r="M384" i="7"/>
  <c r="L384" i="7"/>
  <c r="M383" i="7"/>
  <c r="L383" i="7"/>
  <c r="M382" i="7"/>
  <c r="L382" i="7"/>
  <c r="M381" i="7"/>
  <c r="L381" i="7"/>
  <c r="M380" i="7"/>
  <c r="L380" i="7"/>
  <c r="M379" i="7"/>
  <c r="L379" i="7"/>
  <c r="M378" i="7"/>
  <c r="L378" i="7"/>
  <c r="M377" i="7"/>
  <c r="L377" i="7"/>
  <c r="M376" i="7"/>
  <c r="L376" i="7"/>
  <c r="M375" i="7"/>
  <c r="L375" i="7"/>
  <c r="M374" i="7"/>
  <c r="L374" i="7"/>
  <c r="M373" i="7"/>
  <c r="L373" i="7"/>
  <c r="M372" i="7"/>
  <c r="L372" i="7"/>
  <c r="M371" i="7"/>
  <c r="L371" i="7"/>
  <c r="M370" i="7"/>
  <c r="L370" i="7"/>
  <c r="M369" i="7"/>
  <c r="L369" i="7"/>
  <c r="M368" i="7"/>
  <c r="L368" i="7"/>
  <c r="M367" i="7"/>
  <c r="L367" i="7"/>
  <c r="M366" i="7"/>
  <c r="L366" i="7"/>
  <c r="M365" i="7"/>
  <c r="L365" i="7"/>
  <c r="M364" i="7"/>
  <c r="L364" i="7"/>
  <c r="M363" i="7"/>
  <c r="L363" i="7"/>
  <c r="M362" i="7"/>
  <c r="L362" i="7"/>
  <c r="M361" i="7"/>
  <c r="L361" i="7"/>
  <c r="M360" i="7"/>
  <c r="L360" i="7"/>
  <c r="M359" i="7"/>
  <c r="L359" i="7"/>
  <c r="M358" i="7"/>
  <c r="L358" i="7"/>
  <c r="M357" i="7"/>
  <c r="L357" i="7"/>
  <c r="M356" i="7"/>
  <c r="L356" i="7"/>
  <c r="M355" i="7"/>
  <c r="L355" i="7"/>
  <c r="M354" i="7"/>
  <c r="L354" i="7"/>
  <c r="M353" i="7"/>
  <c r="L353" i="7"/>
  <c r="M352" i="7"/>
  <c r="L352" i="7"/>
  <c r="M351" i="7"/>
  <c r="L351" i="7"/>
  <c r="M350" i="7"/>
  <c r="L350" i="7"/>
  <c r="M349" i="7"/>
  <c r="L349" i="7"/>
  <c r="M348" i="7"/>
  <c r="L348" i="7"/>
  <c r="M347" i="7"/>
  <c r="L347" i="7"/>
  <c r="M346" i="7"/>
  <c r="L346" i="7"/>
  <c r="M345" i="7"/>
  <c r="L345" i="7"/>
  <c r="M344" i="7"/>
  <c r="L344" i="7"/>
  <c r="M343" i="7"/>
  <c r="L343" i="7"/>
  <c r="M342" i="7"/>
  <c r="L342" i="7"/>
  <c r="M341" i="7"/>
  <c r="L341" i="7"/>
  <c r="M340" i="7"/>
  <c r="L340" i="7"/>
  <c r="M339" i="7"/>
  <c r="L339" i="7"/>
  <c r="M338" i="7"/>
  <c r="L338" i="7"/>
  <c r="M337" i="7"/>
  <c r="L337" i="7"/>
  <c r="M336" i="7"/>
  <c r="L336" i="7"/>
  <c r="M335" i="7"/>
  <c r="L335" i="7"/>
  <c r="M334" i="7"/>
  <c r="L334" i="7"/>
  <c r="M333" i="7"/>
  <c r="L333" i="7"/>
  <c r="M332" i="7"/>
  <c r="L332" i="7"/>
  <c r="M331" i="7"/>
  <c r="L331" i="7"/>
  <c r="M330" i="7"/>
  <c r="L330" i="7"/>
  <c r="M329" i="7"/>
  <c r="L329" i="7"/>
  <c r="M328" i="7"/>
  <c r="L328" i="7"/>
  <c r="M327" i="7"/>
  <c r="L327" i="7"/>
  <c r="M326" i="7"/>
  <c r="L326" i="7"/>
  <c r="M325" i="7"/>
  <c r="L325" i="7"/>
  <c r="M324" i="7"/>
  <c r="L324" i="7"/>
  <c r="M323" i="7"/>
  <c r="L323" i="7"/>
  <c r="M322" i="7"/>
  <c r="L322" i="7"/>
  <c r="M321" i="7"/>
  <c r="L321" i="7"/>
  <c r="M320" i="7"/>
  <c r="L320" i="7"/>
  <c r="M319" i="7"/>
  <c r="L319" i="7"/>
  <c r="M318" i="7"/>
  <c r="L318" i="7"/>
  <c r="M317" i="7"/>
  <c r="L317" i="7"/>
  <c r="M316" i="7"/>
  <c r="L316" i="7"/>
  <c r="M315" i="7"/>
  <c r="L315" i="7"/>
  <c r="M314" i="7"/>
  <c r="L314" i="7"/>
  <c r="M313" i="7"/>
  <c r="L313" i="7"/>
  <c r="M312" i="7"/>
  <c r="L312" i="7"/>
  <c r="M311" i="7"/>
  <c r="L311" i="7"/>
  <c r="M310" i="7"/>
  <c r="L310" i="7"/>
  <c r="M309" i="7"/>
  <c r="L309" i="7"/>
  <c r="M308" i="7"/>
  <c r="L308" i="7"/>
  <c r="M307" i="7"/>
  <c r="L307" i="7"/>
  <c r="M306" i="7"/>
  <c r="L306" i="7"/>
  <c r="M305" i="7"/>
  <c r="L305" i="7"/>
  <c r="M304" i="7"/>
  <c r="L304" i="7"/>
  <c r="M303" i="7"/>
  <c r="L303" i="7"/>
  <c r="M302" i="7"/>
  <c r="L302" i="7"/>
  <c r="M301" i="7"/>
  <c r="L301" i="7"/>
  <c r="M300" i="7"/>
  <c r="L300" i="7"/>
  <c r="M299" i="7"/>
  <c r="L299" i="7"/>
  <c r="M298" i="7"/>
  <c r="L298" i="7"/>
  <c r="M297" i="7"/>
  <c r="L297" i="7"/>
  <c r="M296" i="7"/>
  <c r="L296" i="7"/>
  <c r="M295" i="7"/>
  <c r="L295" i="7"/>
  <c r="M294" i="7"/>
  <c r="L294" i="7"/>
  <c r="M293" i="7"/>
  <c r="L293" i="7"/>
  <c r="M291" i="7"/>
  <c r="L291" i="7"/>
  <c r="M290" i="7"/>
  <c r="L290" i="7"/>
  <c r="M289" i="7"/>
  <c r="L289" i="7"/>
  <c r="M288" i="7"/>
  <c r="L288" i="7"/>
  <c r="M287" i="7"/>
  <c r="L287" i="7"/>
  <c r="M286" i="7"/>
  <c r="L286" i="7"/>
  <c r="M285" i="7"/>
  <c r="L285" i="7"/>
  <c r="M284" i="7"/>
  <c r="L284" i="7"/>
  <c r="M283" i="7"/>
  <c r="L283" i="7"/>
  <c r="M282" i="7"/>
  <c r="L282" i="7"/>
  <c r="M281" i="7"/>
  <c r="L281" i="7"/>
  <c r="M280" i="7"/>
  <c r="L280" i="7"/>
  <c r="M279" i="7"/>
  <c r="L279" i="7"/>
  <c r="M278" i="7"/>
  <c r="L278" i="7"/>
  <c r="M277" i="7"/>
  <c r="L277" i="7"/>
  <c r="M276" i="7"/>
  <c r="L276" i="7"/>
  <c r="M275" i="7"/>
  <c r="L275" i="7"/>
  <c r="M274" i="7"/>
  <c r="L274" i="7"/>
  <c r="M273" i="7"/>
  <c r="L273" i="7"/>
  <c r="M272" i="7"/>
  <c r="L272" i="7"/>
  <c r="M271" i="7"/>
  <c r="L271" i="7"/>
  <c r="M270" i="7"/>
  <c r="L270" i="7"/>
  <c r="M269" i="7"/>
  <c r="L269" i="7"/>
  <c r="M268" i="7"/>
  <c r="L268" i="7"/>
  <c r="M267" i="7"/>
  <c r="L267" i="7"/>
  <c r="M266" i="7"/>
  <c r="L266" i="7"/>
  <c r="M265" i="7"/>
  <c r="L265" i="7"/>
  <c r="M264" i="7"/>
  <c r="L264" i="7"/>
  <c r="M263" i="7"/>
  <c r="L263" i="7"/>
  <c r="M262" i="7"/>
  <c r="L262" i="7"/>
  <c r="M261" i="7"/>
  <c r="L261" i="7"/>
  <c r="M260" i="7"/>
  <c r="L260" i="7"/>
  <c r="M259" i="7"/>
  <c r="L259" i="7"/>
  <c r="M258" i="7"/>
  <c r="L258" i="7"/>
  <c r="M257" i="7"/>
  <c r="L257" i="7"/>
  <c r="M256" i="7"/>
  <c r="L256" i="7"/>
  <c r="M254" i="7"/>
  <c r="L254" i="7"/>
  <c r="M253" i="7"/>
  <c r="L253" i="7"/>
  <c r="M252" i="7"/>
  <c r="L252" i="7"/>
  <c r="M251" i="7"/>
  <c r="L251" i="7"/>
  <c r="M250" i="7"/>
  <c r="L250" i="7"/>
  <c r="M249" i="7"/>
  <c r="L249" i="7"/>
  <c r="M248" i="7"/>
  <c r="L248" i="7"/>
  <c r="M247" i="7"/>
  <c r="L247" i="7"/>
  <c r="M246" i="7"/>
  <c r="L246" i="7"/>
  <c r="M245" i="7"/>
  <c r="L245" i="7"/>
  <c r="M244" i="7"/>
  <c r="L244" i="7"/>
  <c r="M243" i="7"/>
  <c r="L243" i="7"/>
  <c r="M242" i="7"/>
  <c r="L242" i="7"/>
  <c r="M241" i="7"/>
  <c r="L241" i="7"/>
  <c r="M240" i="7"/>
  <c r="L240" i="7"/>
  <c r="M239" i="7"/>
  <c r="L239" i="7"/>
  <c r="M238" i="7"/>
  <c r="L238" i="7"/>
  <c r="M237" i="7"/>
  <c r="L237" i="7"/>
  <c r="M236" i="7"/>
  <c r="L236" i="7"/>
  <c r="M235" i="7"/>
  <c r="L235" i="7"/>
  <c r="M234" i="7"/>
  <c r="L234" i="7"/>
  <c r="M233" i="7"/>
  <c r="L233" i="7"/>
  <c r="M232" i="7"/>
  <c r="L232" i="7"/>
  <c r="M230" i="7"/>
  <c r="L230" i="7"/>
  <c r="M229" i="7"/>
  <c r="L229" i="7"/>
  <c r="M228" i="7"/>
  <c r="L228" i="7"/>
  <c r="M227" i="7"/>
  <c r="L227" i="7"/>
  <c r="M226" i="7"/>
  <c r="L226" i="7"/>
  <c r="M225" i="7"/>
  <c r="L225" i="7"/>
  <c r="M224" i="7"/>
  <c r="L224" i="7"/>
  <c r="M223" i="7"/>
  <c r="L223" i="7"/>
  <c r="M222" i="7"/>
  <c r="L222" i="7"/>
  <c r="M221" i="7"/>
  <c r="L221" i="7"/>
  <c r="M220" i="7"/>
  <c r="L220" i="7"/>
  <c r="M219" i="7"/>
  <c r="L219" i="7"/>
  <c r="M218" i="7"/>
  <c r="L218" i="7"/>
  <c r="M217" i="7"/>
  <c r="L217" i="7"/>
  <c r="M216" i="7"/>
  <c r="L216" i="7"/>
  <c r="M215" i="7"/>
  <c r="L215" i="7"/>
  <c r="M214" i="7"/>
  <c r="L214" i="7"/>
  <c r="M213" i="7"/>
  <c r="L213" i="7"/>
  <c r="M212" i="7"/>
  <c r="L212" i="7"/>
  <c r="M211" i="7"/>
  <c r="L211" i="7"/>
  <c r="M210" i="7"/>
  <c r="L210" i="7"/>
  <c r="M209" i="7"/>
  <c r="L209" i="7"/>
  <c r="M208" i="7"/>
  <c r="L208" i="7"/>
  <c r="M207" i="7"/>
  <c r="L207" i="7"/>
  <c r="M206" i="7"/>
  <c r="L206" i="7"/>
  <c r="M205" i="7"/>
  <c r="L205" i="7"/>
  <c r="M204" i="7"/>
  <c r="L204" i="7"/>
  <c r="M203" i="7"/>
  <c r="L203" i="7"/>
  <c r="M202" i="7"/>
  <c r="L202" i="7"/>
  <c r="M201" i="7"/>
  <c r="L201" i="7"/>
  <c r="M200" i="7"/>
  <c r="L200" i="7"/>
  <c r="M199" i="7"/>
  <c r="L199" i="7"/>
  <c r="M198" i="7"/>
  <c r="L198" i="7"/>
  <c r="M197" i="7"/>
  <c r="L197" i="7"/>
  <c r="M196" i="7"/>
  <c r="L196" i="7"/>
  <c r="M195" i="7"/>
  <c r="L195" i="7"/>
  <c r="M194" i="7"/>
  <c r="L194" i="7"/>
  <c r="M193" i="7"/>
  <c r="L193" i="7"/>
  <c r="M192" i="7"/>
  <c r="L192" i="7"/>
  <c r="M191" i="7"/>
  <c r="L191" i="7"/>
  <c r="M190" i="7"/>
  <c r="L190" i="7"/>
  <c r="M189" i="7"/>
  <c r="L189" i="7"/>
  <c r="M188" i="7"/>
  <c r="L188" i="7"/>
  <c r="M187" i="7"/>
  <c r="L187" i="7"/>
  <c r="M186" i="7"/>
  <c r="L186" i="7"/>
  <c r="M185" i="7"/>
  <c r="L185" i="7"/>
  <c r="M184" i="7"/>
  <c r="L184" i="7"/>
  <c r="M183" i="7"/>
  <c r="L183" i="7"/>
  <c r="M182" i="7"/>
  <c r="L182" i="7"/>
  <c r="M181" i="7"/>
  <c r="L181" i="7"/>
  <c r="M180" i="7"/>
  <c r="L180" i="7"/>
  <c r="M179" i="7"/>
  <c r="L179" i="7"/>
  <c r="M178" i="7"/>
  <c r="L178" i="7"/>
  <c r="M177" i="7"/>
  <c r="L177" i="7"/>
  <c r="M175" i="7"/>
  <c r="L175" i="7"/>
  <c r="M174" i="7"/>
  <c r="L174" i="7"/>
  <c r="M173" i="7"/>
  <c r="L173" i="7"/>
  <c r="M172" i="7"/>
  <c r="L172" i="7"/>
  <c r="M171" i="7"/>
  <c r="L171" i="7"/>
  <c r="M170" i="7"/>
  <c r="L170" i="7"/>
  <c r="M169" i="7"/>
  <c r="L169" i="7"/>
  <c r="M168" i="7"/>
  <c r="L168" i="7"/>
  <c r="M167" i="7"/>
  <c r="L167" i="7"/>
  <c r="M166" i="7"/>
  <c r="L166" i="7"/>
  <c r="M165" i="7"/>
  <c r="L165" i="7"/>
  <c r="M164" i="7"/>
  <c r="L164" i="7"/>
  <c r="M163" i="7"/>
  <c r="L163" i="7"/>
  <c r="M162" i="7"/>
  <c r="L162" i="7"/>
  <c r="M161" i="7"/>
  <c r="L161" i="7"/>
  <c r="M160" i="7"/>
  <c r="L160" i="7"/>
  <c r="M159" i="7"/>
  <c r="L159" i="7"/>
  <c r="M158" i="7"/>
  <c r="L158" i="7"/>
  <c r="M157" i="7"/>
  <c r="L157" i="7"/>
  <c r="M156" i="7"/>
  <c r="L156" i="7"/>
  <c r="M155" i="7"/>
  <c r="L155" i="7"/>
  <c r="M154" i="7"/>
  <c r="L154" i="7"/>
  <c r="M153" i="7"/>
  <c r="L153" i="7"/>
  <c r="M152" i="7"/>
  <c r="L152" i="7"/>
  <c r="M151" i="7"/>
  <c r="L151" i="7"/>
  <c r="M150" i="7"/>
  <c r="L150" i="7"/>
  <c r="M149" i="7"/>
  <c r="L149" i="7"/>
  <c r="M148" i="7"/>
  <c r="L148" i="7"/>
  <c r="M147" i="7"/>
  <c r="L147" i="7"/>
  <c r="M146" i="7"/>
  <c r="L146" i="7"/>
  <c r="M145" i="7"/>
  <c r="L145" i="7"/>
  <c r="M144" i="7"/>
  <c r="L144" i="7"/>
  <c r="M143" i="7"/>
  <c r="L143" i="7"/>
  <c r="M142" i="7"/>
  <c r="L142" i="7"/>
  <c r="M141" i="7"/>
  <c r="L141" i="7"/>
  <c r="M140" i="7"/>
  <c r="L140" i="7"/>
  <c r="M139" i="7"/>
  <c r="L139" i="7"/>
  <c r="M138" i="7"/>
  <c r="L138" i="7"/>
  <c r="M137" i="7"/>
  <c r="L137" i="7"/>
  <c r="M136" i="7"/>
  <c r="L136" i="7"/>
  <c r="M135" i="7"/>
  <c r="L135" i="7"/>
  <c r="M134" i="7"/>
  <c r="L134" i="7"/>
  <c r="M133" i="7"/>
  <c r="L133" i="7"/>
  <c r="M132" i="7"/>
  <c r="L132" i="7"/>
  <c r="M131" i="7"/>
  <c r="L131" i="7"/>
  <c r="M130" i="7"/>
  <c r="L130" i="7"/>
  <c r="M129" i="7"/>
  <c r="L129" i="7"/>
  <c r="M128" i="7"/>
  <c r="L128" i="7"/>
  <c r="M127" i="7"/>
  <c r="L127" i="7"/>
  <c r="M126" i="7"/>
  <c r="L126" i="7"/>
  <c r="M125" i="7"/>
  <c r="L125" i="7"/>
  <c r="M124" i="7"/>
  <c r="L124" i="7"/>
  <c r="M123" i="7"/>
  <c r="L123" i="7"/>
  <c r="M121" i="7"/>
  <c r="L121" i="7"/>
  <c r="M120" i="7"/>
  <c r="L120" i="7"/>
  <c r="M119" i="7"/>
  <c r="L119" i="7"/>
  <c r="M118" i="7"/>
  <c r="L118" i="7"/>
  <c r="M117" i="7"/>
  <c r="L117" i="7"/>
  <c r="M116" i="7"/>
  <c r="L116" i="7"/>
  <c r="M115" i="7"/>
  <c r="L115" i="7"/>
  <c r="M114" i="7"/>
  <c r="L114" i="7"/>
  <c r="M113" i="7"/>
  <c r="L113" i="7"/>
  <c r="M112" i="7"/>
  <c r="L112" i="7"/>
  <c r="M111" i="7"/>
  <c r="L111" i="7"/>
  <c r="M110" i="7"/>
  <c r="L110" i="7"/>
  <c r="M109" i="7"/>
  <c r="L109" i="7"/>
  <c r="M108" i="7"/>
  <c r="L108" i="7"/>
  <c r="M107" i="7"/>
  <c r="L107" i="7"/>
  <c r="M106" i="7"/>
  <c r="L106" i="7"/>
  <c r="M105" i="7"/>
  <c r="L105" i="7"/>
  <c r="M104" i="7"/>
  <c r="L104" i="7"/>
  <c r="M103" i="7"/>
  <c r="L103" i="7"/>
  <c r="M102" i="7"/>
  <c r="L102" i="7"/>
  <c r="M101" i="7"/>
  <c r="L101" i="7"/>
  <c r="M100" i="7"/>
  <c r="L100" i="7"/>
  <c r="M99" i="7"/>
  <c r="L99" i="7"/>
  <c r="M98" i="7"/>
  <c r="L98" i="7"/>
  <c r="M97" i="7"/>
  <c r="L97" i="7"/>
  <c r="M96" i="7"/>
  <c r="L96" i="7"/>
  <c r="M95" i="7"/>
  <c r="L95" i="7"/>
  <c r="M94" i="7"/>
  <c r="L94" i="7"/>
  <c r="M93" i="7"/>
  <c r="L93" i="7"/>
  <c r="M92" i="7"/>
  <c r="L92" i="7"/>
  <c r="M91" i="7"/>
  <c r="L91" i="7"/>
  <c r="M90" i="7"/>
  <c r="L90" i="7"/>
  <c r="M89" i="7"/>
  <c r="L89" i="7"/>
  <c r="M88" i="7"/>
  <c r="L88" i="7"/>
  <c r="M87" i="7"/>
  <c r="L87" i="7"/>
  <c r="M86" i="7"/>
  <c r="L86" i="7"/>
  <c r="M85" i="7"/>
  <c r="L85" i="7"/>
  <c r="M84" i="7"/>
  <c r="L84" i="7"/>
  <c r="M83" i="7"/>
  <c r="L83" i="7"/>
  <c r="M82" i="7"/>
  <c r="L82" i="7"/>
  <c r="M81" i="7"/>
  <c r="L81" i="7"/>
  <c r="M80" i="7"/>
  <c r="L80" i="7"/>
  <c r="M79" i="7"/>
  <c r="L79" i="7"/>
  <c r="M78" i="7"/>
  <c r="L78" i="7"/>
  <c r="M77" i="7"/>
  <c r="L77" i="7"/>
  <c r="M76" i="7"/>
  <c r="L76" i="7"/>
  <c r="M75" i="7"/>
  <c r="L75" i="7"/>
  <c r="M74" i="7"/>
  <c r="L74" i="7"/>
  <c r="M73" i="7"/>
  <c r="L73" i="7"/>
  <c r="M72" i="7"/>
  <c r="L72" i="7"/>
  <c r="M71" i="7"/>
  <c r="L71" i="7"/>
  <c r="M70" i="7"/>
  <c r="L70" i="7"/>
  <c r="M69" i="7"/>
  <c r="L69" i="7"/>
  <c r="M68" i="7"/>
  <c r="L68" i="7"/>
  <c r="M67" i="7"/>
  <c r="L67" i="7"/>
  <c r="M66" i="7"/>
  <c r="L66" i="7"/>
  <c r="M65" i="7"/>
  <c r="L65" i="7"/>
  <c r="M64" i="7"/>
  <c r="L64" i="7"/>
  <c r="M63" i="7"/>
  <c r="L63" i="7"/>
  <c r="M62" i="7"/>
  <c r="L62" i="7"/>
  <c r="M61" i="7"/>
  <c r="L61" i="7"/>
  <c r="M60" i="7"/>
  <c r="L60" i="7"/>
  <c r="M59" i="7"/>
  <c r="L59" i="7"/>
  <c r="M58" i="7"/>
  <c r="L58" i="7"/>
  <c r="M57" i="7"/>
  <c r="L57" i="7"/>
  <c r="M56" i="7"/>
  <c r="L56" i="7"/>
  <c r="M55" i="7"/>
  <c r="L55" i="7"/>
  <c r="M54" i="7"/>
  <c r="L54" i="7"/>
  <c r="M53" i="7"/>
  <c r="L53" i="7"/>
  <c r="M52" i="7"/>
  <c r="L52" i="7"/>
  <c r="M51" i="7"/>
  <c r="L51" i="7"/>
  <c r="M50" i="7"/>
  <c r="L50" i="7"/>
  <c r="M49" i="7"/>
  <c r="L49" i="7"/>
  <c r="M48" i="7"/>
  <c r="L48" i="7"/>
  <c r="M47" i="7"/>
  <c r="L47" i="7"/>
  <c r="M46" i="7"/>
  <c r="L46" i="7"/>
  <c r="M45" i="7"/>
  <c r="L45" i="7"/>
  <c r="M44" i="7"/>
  <c r="L44" i="7"/>
  <c r="M43" i="7"/>
  <c r="L43" i="7"/>
  <c r="M42" i="7"/>
  <c r="L42" i="7"/>
  <c r="M41" i="7"/>
  <c r="L41" i="7"/>
  <c r="M40" i="7"/>
  <c r="L40" i="7"/>
  <c r="M39" i="7"/>
  <c r="L39" i="7"/>
  <c r="M38" i="7"/>
  <c r="L38" i="7"/>
  <c r="M37" i="7"/>
  <c r="L37" i="7"/>
  <c r="M36" i="7"/>
  <c r="L36" i="7"/>
  <c r="M35" i="7"/>
  <c r="L35" i="7"/>
  <c r="M34" i="7"/>
  <c r="L34" i="7"/>
  <c r="M33" i="7"/>
  <c r="L33" i="7"/>
  <c r="M32" i="7"/>
  <c r="L32" i="7"/>
  <c r="M31" i="7"/>
  <c r="L31" i="7"/>
  <c r="M30" i="7"/>
  <c r="L30" i="7"/>
  <c r="M29" i="7"/>
  <c r="L29" i="7"/>
  <c r="M28" i="7"/>
  <c r="L28" i="7"/>
  <c r="M27" i="7"/>
  <c r="L27" i="7"/>
  <c r="M26" i="7"/>
  <c r="L26" i="7"/>
  <c r="M25" i="7"/>
  <c r="L25" i="7"/>
  <c r="M24" i="7"/>
  <c r="L24" i="7"/>
  <c r="M23" i="7"/>
  <c r="L23" i="7"/>
  <c r="M22" i="7"/>
  <c r="L22" i="7"/>
  <c r="M21" i="7"/>
  <c r="L21" i="7"/>
  <c r="M20" i="7"/>
  <c r="L20" i="7"/>
  <c r="M19" i="7"/>
  <c r="L19" i="7"/>
  <c r="M18" i="7"/>
  <c r="L18" i="7"/>
  <c r="M17" i="7"/>
  <c r="L17" i="7"/>
  <c r="M16" i="7"/>
  <c r="L16" i="7"/>
  <c r="M15" i="7"/>
  <c r="L15" i="7"/>
  <c r="M14" i="7"/>
  <c r="L14" i="7"/>
  <c r="M13" i="7"/>
  <c r="L13" i="7"/>
  <c r="M12" i="7"/>
  <c r="L12" i="7"/>
  <c r="M11" i="7"/>
  <c r="L11" i="7"/>
  <c r="M10" i="7"/>
  <c r="L10" i="7"/>
  <c r="M8" i="7"/>
  <c r="L8" i="7"/>
  <c r="M7" i="7"/>
  <c r="L7" i="7"/>
  <c r="M6" i="7"/>
  <c r="L6" i="7"/>
  <c r="M5" i="7"/>
  <c r="L5" i="7"/>
  <c r="M4" i="7"/>
  <c r="L4" i="7"/>
  <c r="M3" i="7"/>
  <c r="L3" i="7"/>
  <c r="M2" i="7"/>
  <c r="M395" i="7" s="1"/>
  <c r="L2" i="7"/>
  <c r="L395" i="7" s="1"/>
  <c r="R475" i="8"/>
  <c r="R471" i="8"/>
  <c r="R467" i="8"/>
  <c r="Y426" i="8"/>
  <c r="W426" i="8"/>
  <c r="P426" i="8"/>
  <c r="N426" i="8"/>
  <c r="J426" i="8"/>
  <c r="H426" i="8"/>
  <c r="F426" i="8"/>
  <c r="D426" i="8"/>
  <c r="AB425" i="8"/>
  <c r="AA425" i="8"/>
  <c r="AC425" i="8" s="1"/>
  <c r="L425" i="8" s="1"/>
  <c r="Z425" i="8"/>
  <c r="P425" i="8"/>
  <c r="K425" i="8"/>
  <c r="D425" i="8"/>
  <c r="B425" i="8"/>
  <c r="Z424" i="8"/>
  <c r="Y424" i="8"/>
  <c r="X424" i="8"/>
  <c r="W424" i="8"/>
  <c r="Q424" i="8"/>
  <c r="Q426" i="8" s="1"/>
  <c r="O424" i="8"/>
  <c r="O426" i="8" s="1"/>
  <c r="N424" i="8"/>
  <c r="M424" i="8"/>
  <c r="M426" i="8" s="1"/>
  <c r="K424" i="8"/>
  <c r="J424" i="8"/>
  <c r="I424" i="8"/>
  <c r="I426" i="8" s="1"/>
  <c r="H424" i="8"/>
  <c r="G424" i="8"/>
  <c r="G426" i="8" s="1"/>
  <c r="F424" i="8"/>
  <c r="E424" i="8"/>
  <c r="E426" i="8" s="1"/>
  <c r="D424" i="8"/>
  <c r="B424" i="8"/>
  <c r="AB423" i="8"/>
  <c r="AA423" i="8"/>
  <c r="Z423" i="8"/>
  <c r="AC423" i="8" s="1"/>
  <c r="P423" i="8"/>
  <c r="P424" i="8" s="1"/>
  <c r="L423" i="8"/>
  <c r="K423" i="8"/>
  <c r="D423" i="8"/>
  <c r="B423" i="8"/>
  <c r="Y421" i="8"/>
  <c r="W421" i="8"/>
  <c r="N421" i="8"/>
  <c r="J421" i="8"/>
  <c r="D421" i="8" s="1"/>
  <c r="H421" i="8"/>
  <c r="F421" i="8"/>
  <c r="AB420" i="8"/>
  <c r="AA420" i="8"/>
  <c r="AC420" i="8" s="1"/>
  <c r="L420" i="8" s="1"/>
  <c r="Z420" i="8"/>
  <c r="P420" i="8"/>
  <c r="K420" i="8"/>
  <c r="D420" i="8"/>
  <c r="B420" i="8"/>
  <c r="AB419" i="8"/>
  <c r="Z419" i="8"/>
  <c r="Y419" i="8"/>
  <c r="X419" i="8"/>
  <c r="W419" i="8"/>
  <c r="Q419" i="8"/>
  <c r="Q421" i="8" s="1"/>
  <c r="O419" i="8"/>
  <c r="O421" i="8" s="1"/>
  <c r="N419" i="8"/>
  <c r="M419" i="8"/>
  <c r="M421" i="8" s="1"/>
  <c r="P421" i="8" s="1"/>
  <c r="K419" i="8"/>
  <c r="J419" i="8"/>
  <c r="I419" i="8"/>
  <c r="I421" i="8" s="1"/>
  <c r="H419" i="8"/>
  <c r="G419" i="8"/>
  <c r="G421" i="8" s="1"/>
  <c r="F419" i="8"/>
  <c r="E419" i="8"/>
  <c r="E421" i="8" s="1"/>
  <c r="D419" i="8"/>
  <c r="B419" i="8"/>
  <c r="AB418" i="8"/>
  <c r="AA418" i="8"/>
  <c r="Z418" i="8"/>
  <c r="AC418" i="8" s="1"/>
  <c r="P418" i="8"/>
  <c r="P419" i="8" s="1"/>
  <c r="L418" i="8"/>
  <c r="K418" i="8"/>
  <c r="D418" i="8"/>
  <c r="B418" i="8"/>
  <c r="Y416" i="8"/>
  <c r="AA416" i="8" s="1"/>
  <c r="X416" i="8"/>
  <c r="W416" i="8"/>
  <c r="Q416" i="8"/>
  <c r="O416" i="8"/>
  <c r="N416" i="8"/>
  <c r="P416" i="8" s="1"/>
  <c r="M416" i="8"/>
  <c r="J416" i="8"/>
  <c r="I416" i="8"/>
  <c r="H416" i="8"/>
  <c r="G416" i="8"/>
  <c r="F416" i="8"/>
  <c r="E416" i="8"/>
  <c r="D416" i="8"/>
  <c r="AB415" i="8"/>
  <c r="AA415" i="8"/>
  <c r="AC415" i="8" s="1"/>
  <c r="L415" i="8" s="1"/>
  <c r="Z415" i="8"/>
  <c r="P415" i="8"/>
  <c r="K415" i="8"/>
  <c r="D415" i="8"/>
  <c r="B415" i="8"/>
  <c r="AB414" i="8"/>
  <c r="AA414" i="8"/>
  <c r="Z414" i="8"/>
  <c r="AC414" i="8" s="1"/>
  <c r="P414" i="8"/>
  <c r="L414" i="8"/>
  <c r="K414" i="8"/>
  <c r="D414" i="8"/>
  <c r="B414" i="8"/>
  <c r="AB413" i="8"/>
  <c r="AA413" i="8"/>
  <c r="AC413" i="8" s="1"/>
  <c r="L413" i="8" s="1"/>
  <c r="Z413" i="8"/>
  <c r="P413" i="8"/>
  <c r="K413" i="8"/>
  <c r="D413" i="8"/>
  <c r="B413" i="8"/>
  <c r="AB412" i="8"/>
  <c r="AA412" i="8"/>
  <c r="Z412" i="8"/>
  <c r="AC412" i="8" s="1"/>
  <c r="P412" i="8"/>
  <c r="L412" i="8"/>
  <c r="K412" i="8"/>
  <c r="D412" i="8"/>
  <c r="B412" i="8"/>
  <c r="AB411" i="8"/>
  <c r="AA411" i="8"/>
  <c r="AC411" i="8" s="1"/>
  <c r="L411" i="8" s="1"/>
  <c r="Z411" i="8"/>
  <c r="P411" i="8"/>
  <c r="K411" i="8"/>
  <c r="D411" i="8"/>
  <c r="B411" i="8"/>
  <c r="AB409" i="8"/>
  <c r="Z409" i="8"/>
  <c r="Y409" i="8"/>
  <c r="X409" i="8"/>
  <c r="AA409" i="8" s="1"/>
  <c r="W409" i="8"/>
  <c r="Q409" i="8"/>
  <c r="O409" i="8"/>
  <c r="N409" i="8"/>
  <c r="M409" i="8"/>
  <c r="P409" i="8" s="1"/>
  <c r="K409" i="8"/>
  <c r="J409" i="8"/>
  <c r="I409" i="8"/>
  <c r="H409" i="8"/>
  <c r="G409" i="8"/>
  <c r="F409" i="8"/>
  <c r="E409" i="8"/>
  <c r="D409" i="8"/>
  <c r="B409" i="8"/>
  <c r="AB408" i="8"/>
  <c r="AA408" i="8"/>
  <c r="Z408" i="8"/>
  <c r="AC408" i="8" s="1"/>
  <c r="P408" i="8"/>
  <c r="L408" i="8"/>
  <c r="K408" i="8"/>
  <c r="D408" i="8"/>
  <c r="B408" i="8"/>
  <c r="AB407" i="8"/>
  <c r="AA407" i="8"/>
  <c r="AC407" i="8" s="1"/>
  <c r="L407" i="8" s="1"/>
  <c r="Z407" i="8"/>
  <c r="P407" i="8"/>
  <c r="K407" i="8"/>
  <c r="D407" i="8"/>
  <c r="B407" i="8"/>
  <c r="AB405" i="8"/>
  <c r="Z405" i="8"/>
  <c r="Y405" i="8"/>
  <c r="X405" i="8"/>
  <c r="AA405" i="8" s="1"/>
  <c r="W405" i="8"/>
  <c r="Q405" i="8"/>
  <c r="O405" i="8"/>
  <c r="N405" i="8"/>
  <c r="M405" i="8"/>
  <c r="P405" i="8" s="1"/>
  <c r="K405" i="8"/>
  <c r="J405" i="8"/>
  <c r="I405" i="8"/>
  <c r="H405" i="8"/>
  <c r="G405" i="8"/>
  <c r="F405" i="8"/>
  <c r="E405" i="8"/>
  <c r="D405" i="8"/>
  <c r="B405" i="8"/>
  <c r="AB404" i="8"/>
  <c r="AA404" i="8"/>
  <c r="Z404" i="8"/>
  <c r="AC404" i="8" s="1"/>
  <c r="P404" i="8"/>
  <c r="L404" i="8"/>
  <c r="K404" i="8"/>
  <c r="D404" i="8"/>
  <c r="B404" i="8"/>
  <c r="AB403" i="8"/>
  <c r="AA403" i="8"/>
  <c r="AC403" i="8" s="1"/>
  <c r="L403" i="8" s="1"/>
  <c r="Z403" i="8"/>
  <c r="P403" i="8"/>
  <c r="K403" i="8"/>
  <c r="D403" i="8"/>
  <c r="B403" i="8"/>
  <c r="AB402" i="8"/>
  <c r="AA402" i="8"/>
  <c r="Z402" i="8"/>
  <c r="AC402" i="8" s="1"/>
  <c r="L402" i="8" s="1"/>
  <c r="P402" i="8"/>
  <c r="K402" i="8"/>
  <c r="D402" i="8"/>
  <c r="B402" i="8"/>
  <c r="Y400" i="8"/>
  <c r="AA400" i="8" s="1"/>
  <c r="X400" i="8"/>
  <c r="W400" i="8"/>
  <c r="AB400" i="8" s="1"/>
  <c r="Q400" i="8"/>
  <c r="O400" i="8"/>
  <c r="N400" i="8"/>
  <c r="P400" i="8" s="1"/>
  <c r="M400" i="8"/>
  <c r="J400" i="8"/>
  <c r="I400" i="8"/>
  <c r="H400" i="8"/>
  <c r="G400" i="8"/>
  <c r="F400" i="8"/>
  <c r="K400" i="8" s="1"/>
  <c r="E400" i="8"/>
  <c r="D400" i="8"/>
  <c r="AB399" i="8"/>
  <c r="AA399" i="8"/>
  <c r="AC399" i="8" s="1"/>
  <c r="L399" i="8" s="1"/>
  <c r="Z399" i="8"/>
  <c r="P399" i="8"/>
  <c r="K399" i="8"/>
  <c r="D399" i="8"/>
  <c r="B399" i="8"/>
  <c r="AB398" i="8"/>
  <c r="AA398" i="8"/>
  <c r="Z398" i="8"/>
  <c r="AC398" i="8" s="1"/>
  <c r="L398" i="8" s="1"/>
  <c r="P398" i="8"/>
  <c r="K398" i="8"/>
  <c r="D398" i="8"/>
  <c r="B398" i="8"/>
  <c r="AB397" i="8"/>
  <c r="AA397" i="8"/>
  <c r="Z397" i="8"/>
  <c r="AC397" i="8" s="1"/>
  <c r="L397" i="8" s="1"/>
  <c r="P397" i="8"/>
  <c r="K397" i="8"/>
  <c r="D397" i="8"/>
  <c r="B397" i="8"/>
  <c r="Y395" i="8"/>
  <c r="X395" i="8"/>
  <c r="AA395" i="8" s="1"/>
  <c r="W395" i="8"/>
  <c r="AB395" i="8" s="1"/>
  <c r="Q395" i="8"/>
  <c r="O395" i="8"/>
  <c r="N395" i="8"/>
  <c r="M395" i="8"/>
  <c r="P395" i="8" s="1"/>
  <c r="J395" i="8"/>
  <c r="I395" i="8"/>
  <c r="H395" i="8"/>
  <c r="G395" i="8"/>
  <c r="F395" i="8"/>
  <c r="B395" i="8" s="1"/>
  <c r="E395" i="8"/>
  <c r="D395" i="8"/>
  <c r="AB394" i="8"/>
  <c r="AA394" i="8"/>
  <c r="AC394" i="8" s="1"/>
  <c r="L394" i="8" s="1"/>
  <c r="Z394" i="8"/>
  <c r="P394" i="8"/>
  <c r="K394" i="8"/>
  <c r="D394" i="8"/>
  <c r="B394" i="8"/>
  <c r="AB393" i="8"/>
  <c r="AA393" i="8"/>
  <c r="Z393" i="8"/>
  <c r="AC393" i="8" s="1"/>
  <c r="L393" i="8" s="1"/>
  <c r="P393" i="8"/>
  <c r="K393" i="8"/>
  <c r="D393" i="8"/>
  <c r="B393" i="8"/>
  <c r="AB392" i="8"/>
  <c r="AA392" i="8"/>
  <c r="Z392" i="8"/>
  <c r="AC392" i="8" s="1"/>
  <c r="L392" i="8" s="1"/>
  <c r="P392" i="8"/>
  <c r="K392" i="8"/>
  <c r="D392" i="8"/>
  <c r="B392" i="8"/>
  <c r="AB391" i="8"/>
  <c r="AA391" i="8"/>
  <c r="Z391" i="8"/>
  <c r="AC391" i="8" s="1"/>
  <c r="L391" i="8" s="1"/>
  <c r="P391" i="8"/>
  <c r="K391" i="8"/>
  <c r="D391" i="8"/>
  <c r="B391" i="8"/>
  <c r="AB390" i="8"/>
  <c r="AA390" i="8"/>
  <c r="Z390" i="8"/>
  <c r="AC390" i="8" s="1"/>
  <c r="L390" i="8" s="1"/>
  <c r="P390" i="8"/>
  <c r="K390" i="8"/>
  <c r="D390" i="8"/>
  <c r="B390" i="8"/>
  <c r="AB389" i="8"/>
  <c r="AA389" i="8"/>
  <c r="Z389" i="8"/>
  <c r="AC389" i="8" s="1"/>
  <c r="L389" i="8" s="1"/>
  <c r="P389" i="8"/>
  <c r="K389" i="8"/>
  <c r="D389" i="8"/>
  <c r="B389" i="8"/>
  <c r="AB388" i="8"/>
  <c r="AA388" i="8"/>
  <c r="Z388" i="8"/>
  <c r="AC388" i="8" s="1"/>
  <c r="L388" i="8" s="1"/>
  <c r="P388" i="8"/>
  <c r="K388" i="8"/>
  <c r="D388" i="8"/>
  <c r="B388" i="8"/>
  <c r="AB387" i="8"/>
  <c r="AA387" i="8"/>
  <c r="AC387" i="8" s="1"/>
  <c r="L387" i="8" s="1"/>
  <c r="Z387" i="8"/>
  <c r="P387" i="8"/>
  <c r="K387" i="8"/>
  <c r="D387" i="8"/>
  <c r="B387" i="8"/>
  <c r="AB386" i="8"/>
  <c r="AA386" i="8"/>
  <c r="Z386" i="8"/>
  <c r="AC386" i="8" s="1"/>
  <c r="L386" i="8" s="1"/>
  <c r="P386" i="8"/>
  <c r="K386" i="8"/>
  <c r="D386" i="8"/>
  <c r="B386" i="8"/>
  <c r="AB385" i="8"/>
  <c r="AA385" i="8"/>
  <c r="AC385" i="8" s="1"/>
  <c r="L385" i="8" s="1"/>
  <c r="Z385" i="8"/>
  <c r="P385" i="8"/>
  <c r="K385" i="8"/>
  <c r="D385" i="8"/>
  <c r="B385" i="8"/>
  <c r="AB384" i="8"/>
  <c r="AA384" i="8"/>
  <c r="Z384" i="8"/>
  <c r="AC384" i="8" s="1"/>
  <c r="L384" i="8" s="1"/>
  <c r="P384" i="8"/>
  <c r="K384" i="8"/>
  <c r="D384" i="8"/>
  <c r="B384" i="8"/>
  <c r="AB383" i="8"/>
  <c r="AA383" i="8"/>
  <c r="AC383" i="8" s="1"/>
  <c r="L383" i="8" s="1"/>
  <c r="Z383" i="8"/>
  <c r="P383" i="8"/>
  <c r="K383" i="8"/>
  <c r="D383" i="8"/>
  <c r="B383" i="8"/>
  <c r="AB382" i="8"/>
  <c r="AA382" i="8"/>
  <c r="Z382" i="8"/>
  <c r="AC382" i="8" s="1"/>
  <c r="L382" i="8" s="1"/>
  <c r="P382" i="8"/>
  <c r="K382" i="8"/>
  <c r="D382" i="8"/>
  <c r="B382" i="8"/>
  <c r="AB381" i="8"/>
  <c r="AA381" i="8"/>
  <c r="AC381" i="8" s="1"/>
  <c r="L381" i="8" s="1"/>
  <c r="Z381" i="8"/>
  <c r="P381" i="8"/>
  <c r="K381" i="8"/>
  <c r="D381" i="8"/>
  <c r="B381" i="8"/>
  <c r="AB380" i="8"/>
  <c r="AA380" i="8"/>
  <c r="Z380" i="8"/>
  <c r="AC380" i="8" s="1"/>
  <c r="L380" i="8" s="1"/>
  <c r="P380" i="8"/>
  <c r="K380" i="8"/>
  <c r="D380" i="8"/>
  <c r="B380" i="8"/>
  <c r="AB379" i="8"/>
  <c r="AA379" i="8"/>
  <c r="AC379" i="8" s="1"/>
  <c r="L379" i="8" s="1"/>
  <c r="Z379" i="8"/>
  <c r="P379" i="8"/>
  <c r="K379" i="8"/>
  <c r="D379" i="8"/>
  <c r="B379" i="8"/>
  <c r="AB378" i="8"/>
  <c r="AA378" i="8"/>
  <c r="Z378" i="8"/>
  <c r="AC378" i="8" s="1"/>
  <c r="L378" i="8" s="1"/>
  <c r="P378" i="8"/>
  <c r="K378" i="8"/>
  <c r="D378" i="8"/>
  <c r="B378" i="8"/>
  <c r="AB377" i="8"/>
  <c r="AA377" i="8"/>
  <c r="AC377" i="8" s="1"/>
  <c r="L377" i="8" s="1"/>
  <c r="Z377" i="8"/>
  <c r="P377" i="8"/>
  <c r="K377" i="8"/>
  <c r="D377" i="8"/>
  <c r="B377" i="8"/>
  <c r="AB376" i="8"/>
  <c r="AA376" i="8"/>
  <c r="Z376" i="8"/>
  <c r="AC376" i="8" s="1"/>
  <c r="L376" i="8" s="1"/>
  <c r="P376" i="8"/>
  <c r="K376" i="8"/>
  <c r="D376" i="8"/>
  <c r="B376" i="8"/>
  <c r="AB375" i="8"/>
  <c r="AA375" i="8"/>
  <c r="AC375" i="8" s="1"/>
  <c r="L375" i="8" s="1"/>
  <c r="Z375" i="8"/>
  <c r="P375" i="8"/>
  <c r="K375" i="8"/>
  <c r="D375" i="8"/>
  <c r="B375" i="8"/>
  <c r="AB374" i="8"/>
  <c r="AA374" i="8"/>
  <c r="Z374" i="8"/>
  <c r="AC374" i="8" s="1"/>
  <c r="L374" i="8" s="1"/>
  <c r="P374" i="8"/>
  <c r="K374" i="8"/>
  <c r="D374" i="8"/>
  <c r="B374" i="8"/>
  <c r="AB373" i="8"/>
  <c r="AA373" i="8"/>
  <c r="AC373" i="8" s="1"/>
  <c r="L373" i="8" s="1"/>
  <c r="Z373" i="8"/>
  <c r="P373" i="8"/>
  <c r="K373" i="8"/>
  <c r="D373" i="8"/>
  <c r="B373" i="8"/>
  <c r="AB372" i="8"/>
  <c r="AA372" i="8"/>
  <c r="Z372" i="8"/>
  <c r="AC372" i="8" s="1"/>
  <c r="L372" i="8" s="1"/>
  <c r="P372" i="8"/>
  <c r="K372" i="8"/>
  <c r="D372" i="8"/>
  <c r="B372" i="8"/>
  <c r="AB371" i="8"/>
  <c r="AA371" i="8"/>
  <c r="AC371" i="8" s="1"/>
  <c r="L371" i="8" s="1"/>
  <c r="Z371" i="8"/>
  <c r="P371" i="8"/>
  <c r="K371" i="8"/>
  <c r="D371" i="8"/>
  <c r="B371" i="8"/>
  <c r="AB370" i="8"/>
  <c r="AA370" i="8"/>
  <c r="Z370" i="8"/>
  <c r="AC370" i="8" s="1"/>
  <c r="L370" i="8" s="1"/>
  <c r="P370" i="8"/>
  <c r="K370" i="8"/>
  <c r="D370" i="8"/>
  <c r="B370" i="8"/>
  <c r="AB369" i="8"/>
  <c r="AA369" i="8"/>
  <c r="AC369" i="8" s="1"/>
  <c r="L369" i="8" s="1"/>
  <c r="Z369" i="8"/>
  <c r="P369" i="8"/>
  <c r="K369" i="8"/>
  <c r="D369" i="8"/>
  <c r="B369" i="8"/>
  <c r="AB368" i="8"/>
  <c r="AA368" i="8"/>
  <c r="Z368" i="8"/>
  <c r="AC368" i="8" s="1"/>
  <c r="L368" i="8" s="1"/>
  <c r="P368" i="8"/>
  <c r="K368" i="8"/>
  <c r="D368" i="8"/>
  <c r="B368" i="8"/>
  <c r="AB367" i="8"/>
  <c r="AA367" i="8"/>
  <c r="AC367" i="8" s="1"/>
  <c r="L367" i="8" s="1"/>
  <c r="Z367" i="8"/>
  <c r="P367" i="8"/>
  <c r="K367" i="8"/>
  <c r="D367" i="8"/>
  <c r="B367" i="8"/>
  <c r="AB366" i="8"/>
  <c r="AA366" i="8"/>
  <c r="Z366" i="8"/>
  <c r="AC366" i="8" s="1"/>
  <c r="L366" i="8" s="1"/>
  <c r="P366" i="8"/>
  <c r="K366" i="8"/>
  <c r="D366" i="8"/>
  <c r="B366" i="8"/>
  <c r="AB365" i="8"/>
  <c r="AA365" i="8"/>
  <c r="AC365" i="8" s="1"/>
  <c r="L365" i="8" s="1"/>
  <c r="Z365" i="8"/>
  <c r="P365" i="8"/>
  <c r="K365" i="8"/>
  <c r="D365" i="8"/>
  <c r="B365" i="8"/>
  <c r="AB364" i="8"/>
  <c r="AA364" i="8"/>
  <c r="Z364" i="8"/>
  <c r="AC364" i="8" s="1"/>
  <c r="L364" i="8" s="1"/>
  <c r="P364" i="8"/>
  <c r="K364" i="8"/>
  <c r="D364" i="8"/>
  <c r="B364" i="8"/>
  <c r="AB363" i="8"/>
  <c r="AA363" i="8"/>
  <c r="AC363" i="8" s="1"/>
  <c r="L363" i="8" s="1"/>
  <c r="Z363" i="8"/>
  <c r="P363" i="8"/>
  <c r="K363" i="8"/>
  <c r="D363" i="8"/>
  <c r="B363" i="8"/>
  <c r="AB362" i="8"/>
  <c r="AA362" i="8"/>
  <c r="Z362" i="8"/>
  <c r="AC362" i="8" s="1"/>
  <c r="L362" i="8" s="1"/>
  <c r="P362" i="8"/>
  <c r="K362" i="8"/>
  <c r="D362" i="8"/>
  <c r="B362" i="8"/>
  <c r="AB361" i="8"/>
  <c r="AA361" i="8"/>
  <c r="AC361" i="8" s="1"/>
  <c r="L361" i="8" s="1"/>
  <c r="Z361" i="8"/>
  <c r="P361" i="8"/>
  <c r="K361" i="8"/>
  <c r="D361" i="8"/>
  <c r="B361" i="8"/>
  <c r="AB360" i="8"/>
  <c r="AA360" i="8"/>
  <c r="Z360" i="8"/>
  <c r="AC360" i="8" s="1"/>
  <c r="L360" i="8" s="1"/>
  <c r="P360" i="8"/>
  <c r="K360" i="8"/>
  <c r="D360" i="8"/>
  <c r="B360" i="8"/>
  <c r="AB359" i="8"/>
  <c r="AA359" i="8"/>
  <c r="AC359" i="8" s="1"/>
  <c r="L359" i="8" s="1"/>
  <c r="Z359" i="8"/>
  <c r="P359" i="8"/>
  <c r="K359" i="8"/>
  <c r="D359" i="8"/>
  <c r="B359" i="8"/>
  <c r="AB358" i="8"/>
  <c r="AA358" i="8"/>
  <c r="Z358" i="8"/>
  <c r="AC358" i="8" s="1"/>
  <c r="L358" i="8" s="1"/>
  <c r="P358" i="8"/>
  <c r="K358" i="8"/>
  <c r="D358" i="8"/>
  <c r="B358" i="8"/>
  <c r="AB357" i="8"/>
  <c r="AA357" i="8"/>
  <c r="AC357" i="8" s="1"/>
  <c r="L357" i="8" s="1"/>
  <c r="Z357" i="8"/>
  <c r="P357" i="8"/>
  <c r="K357" i="8"/>
  <c r="D357" i="8"/>
  <c r="B357" i="8"/>
  <c r="AB356" i="8"/>
  <c r="AA356" i="8"/>
  <c r="Z356" i="8"/>
  <c r="AC356" i="8" s="1"/>
  <c r="L356" i="8" s="1"/>
  <c r="P356" i="8"/>
  <c r="K356" i="8"/>
  <c r="D356" i="8"/>
  <c r="B356" i="8"/>
  <c r="AB355" i="8"/>
  <c r="AA355" i="8"/>
  <c r="AC355" i="8" s="1"/>
  <c r="L355" i="8" s="1"/>
  <c r="Z355" i="8"/>
  <c r="P355" i="8"/>
  <c r="K355" i="8"/>
  <c r="D355" i="8"/>
  <c r="B355" i="8"/>
  <c r="AB354" i="8"/>
  <c r="AA354" i="8"/>
  <c r="Z354" i="8"/>
  <c r="AC354" i="8" s="1"/>
  <c r="L354" i="8" s="1"/>
  <c r="P354" i="8"/>
  <c r="K354" i="8"/>
  <c r="D354" i="8"/>
  <c r="B354" i="8"/>
  <c r="AB353" i="8"/>
  <c r="AA353" i="8"/>
  <c r="AC353" i="8" s="1"/>
  <c r="L353" i="8" s="1"/>
  <c r="Z353" i="8"/>
  <c r="P353" i="8"/>
  <c r="K353" i="8"/>
  <c r="D353" i="8"/>
  <c r="B353" i="8"/>
  <c r="AB352" i="8"/>
  <c r="AA352" i="8"/>
  <c r="Z352" i="8"/>
  <c r="AC352" i="8" s="1"/>
  <c r="L352" i="8" s="1"/>
  <c r="P352" i="8"/>
  <c r="K352" i="8"/>
  <c r="D352" i="8"/>
  <c r="B352" i="8"/>
  <c r="AB351" i="8"/>
  <c r="AA351" i="8"/>
  <c r="AC351" i="8" s="1"/>
  <c r="L351" i="8" s="1"/>
  <c r="Z351" i="8"/>
  <c r="P351" i="8"/>
  <c r="K351" i="8"/>
  <c r="D351" i="8"/>
  <c r="B351" i="8"/>
  <c r="AB350" i="8"/>
  <c r="AA350" i="8"/>
  <c r="Z350" i="8"/>
  <c r="AC350" i="8" s="1"/>
  <c r="P350" i="8"/>
  <c r="L350" i="8"/>
  <c r="K350" i="8"/>
  <c r="D350" i="8"/>
  <c r="B350" i="8"/>
  <c r="AB349" i="8"/>
  <c r="AA349" i="8"/>
  <c r="AC349" i="8" s="1"/>
  <c r="L349" i="8" s="1"/>
  <c r="Z349" i="8"/>
  <c r="P349" i="8"/>
  <c r="K349" i="8"/>
  <c r="D349" i="8"/>
  <c r="B349" i="8"/>
  <c r="AB348" i="8"/>
  <c r="AA348" i="8"/>
  <c r="Z348" i="8"/>
  <c r="AC348" i="8" s="1"/>
  <c r="P348" i="8"/>
  <c r="L348" i="8"/>
  <c r="K348" i="8"/>
  <c r="D348" i="8"/>
  <c r="B348" i="8"/>
  <c r="AB347" i="8"/>
  <c r="AA347" i="8"/>
  <c r="AC347" i="8" s="1"/>
  <c r="L347" i="8" s="1"/>
  <c r="Z347" i="8"/>
  <c r="P347" i="8"/>
  <c r="K347" i="8"/>
  <c r="D347" i="8"/>
  <c r="B347" i="8"/>
  <c r="AB346" i="8"/>
  <c r="AA346" i="8"/>
  <c r="Z346" i="8"/>
  <c r="AC346" i="8" s="1"/>
  <c r="P346" i="8"/>
  <c r="L346" i="8"/>
  <c r="K346" i="8"/>
  <c r="D346" i="8"/>
  <c r="B346" i="8"/>
  <c r="AB345" i="8"/>
  <c r="AA345" i="8"/>
  <c r="AC345" i="8" s="1"/>
  <c r="L345" i="8" s="1"/>
  <c r="Z345" i="8"/>
  <c r="P345" i="8"/>
  <c r="K345" i="8"/>
  <c r="D345" i="8"/>
  <c r="B345" i="8"/>
  <c r="AB344" i="8"/>
  <c r="AA344" i="8"/>
  <c r="Z344" i="8"/>
  <c r="AC344" i="8" s="1"/>
  <c r="P344" i="8"/>
  <c r="L344" i="8"/>
  <c r="K344" i="8"/>
  <c r="D344" i="8"/>
  <c r="B344" i="8"/>
  <c r="AB343" i="8"/>
  <c r="AA343" i="8"/>
  <c r="AC343" i="8" s="1"/>
  <c r="L343" i="8" s="1"/>
  <c r="Z343" i="8"/>
  <c r="P343" i="8"/>
  <c r="K343" i="8"/>
  <c r="D343" i="8"/>
  <c r="B343" i="8"/>
  <c r="AB342" i="8"/>
  <c r="AA342" i="8"/>
  <c r="Z342" i="8"/>
  <c r="AC342" i="8" s="1"/>
  <c r="P342" i="8"/>
  <c r="L342" i="8"/>
  <c r="K342" i="8"/>
  <c r="D342" i="8"/>
  <c r="B342" i="8"/>
  <c r="AB341" i="8"/>
  <c r="AA341" i="8"/>
  <c r="AC341" i="8" s="1"/>
  <c r="L341" i="8" s="1"/>
  <c r="Z341" i="8"/>
  <c r="P341" i="8"/>
  <c r="K341" i="8"/>
  <c r="D341" i="8"/>
  <c r="B341" i="8"/>
  <c r="AB340" i="8"/>
  <c r="AA340" i="8"/>
  <c r="Z340" i="8"/>
  <c r="AC340" i="8" s="1"/>
  <c r="P340" i="8"/>
  <c r="L340" i="8"/>
  <c r="K340" i="8"/>
  <c r="D340" i="8"/>
  <c r="B340" i="8"/>
  <c r="AB339" i="8"/>
  <c r="AA339" i="8"/>
  <c r="AC339" i="8" s="1"/>
  <c r="L339" i="8" s="1"/>
  <c r="Z339" i="8"/>
  <c r="P339" i="8"/>
  <c r="K339" i="8"/>
  <c r="D339" i="8"/>
  <c r="B339" i="8"/>
  <c r="AB338" i="8"/>
  <c r="AA338" i="8"/>
  <c r="Z338" i="8"/>
  <c r="AC338" i="8" s="1"/>
  <c r="P338" i="8"/>
  <c r="L338" i="8"/>
  <c r="K338" i="8"/>
  <c r="D338" i="8"/>
  <c r="B338" i="8"/>
  <c r="AB337" i="8"/>
  <c r="AA337" i="8"/>
  <c r="AC337" i="8" s="1"/>
  <c r="L337" i="8" s="1"/>
  <c r="Z337" i="8"/>
  <c r="P337" i="8"/>
  <c r="K337" i="8"/>
  <c r="D337" i="8"/>
  <c r="B337" i="8"/>
  <c r="AB336" i="8"/>
  <c r="AA336" i="8"/>
  <c r="Z336" i="8"/>
  <c r="AC336" i="8" s="1"/>
  <c r="P336" i="8"/>
  <c r="L336" i="8"/>
  <c r="K336" i="8"/>
  <c r="D336" i="8"/>
  <c r="B336" i="8"/>
  <c r="AB335" i="8"/>
  <c r="AA335" i="8"/>
  <c r="AC335" i="8" s="1"/>
  <c r="L335" i="8" s="1"/>
  <c r="Z335" i="8"/>
  <c r="P335" i="8"/>
  <c r="K335" i="8"/>
  <c r="D335" i="8"/>
  <c r="B335" i="8"/>
  <c r="AB334" i="8"/>
  <c r="AA334" i="8"/>
  <c r="AC334" i="8" s="1"/>
  <c r="L334" i="8" s="1"/>
  <c r="Z334" i="8"/>
  <c r="P334" i="8"/>
  <c r="K334" i="8"/>
  <c r="D334" i="8"/>
  <c r="B334" i="8"/>
  <c r="AB333" i="8"/>
  <c r="AA333" i="8"/>
  <c r="Z333" i="8"/>
  <c r="AC333" i="8" s="1"/>
  <c r="L333" i="8" s="1"/>
  <c r="P333" i="8"/>
  <c r="K333" i="8"/>
  <c r="D333" i="8"/>
  <c r="B333" i="8"/>
  <c r="AB332" i="8"/>
  <c r="AA332" i="8"/>
  <c r="AC332" i="8" s="1"/>
  <c r="L332" i="8" s="1"/>
  <c r="Z332" i="8"/>
  <c r="P332" i="8"/>
  <c r="K332" i="8"/>
  <c r="D332" i="8"/>
  <c r="B332" i="8"/>
  <c r="AB331" i="8"/>
  <c r="AA331" i="8"/>
  <c r="Z331" i="8"/>
  <c r="AC331" i="8" s="1"/>
  <c r="L331" i="8" s="1"/>
  <c r="P331" i="8"/>
  <c r="K331" i="8"/>
  <c r="D331" i="8"/>
  <c r="B331" i="8"/>
  <c r="AB330" i="8"/>
  <c r="AA330" i="8"/>
  <c r="AC330" i="8" s="1"/>
  <c r="L330" i="8" s="1"/>
  <c r="Z330" i="8"/>
  <c r="P330" i="8"/>
  <c r="K330" i="8"/>
  <c r="D330" i="8"/>
  <c r="B330" i="8"/>
  <c r="AB329" i="8"/>
  <c r="AA329" i="8"/>
  <c r="Z329" i="8"/>
  <c r="AC329" i="8" s="1"/>
  <c r="L329" i="8" s="1"/>
  <c r="P329" i="8"/>
  <c r="K329" i="8"/>
  <c r="D329" i="8"/>
  <c r="B329" i="8"/>
  <c r="AB328" i="8"/>
  <c r="AA328" i="8"/>
  <c r="AC328" i="8" s="1"/>
  <c r="L328" i="8" s="1"/>
  <c r="Z328" i="8"/>
  <c r="P328" i="8"/>
  <c r="K328" i="8"/>
  <c r="D328" i="8"/>
  <c r="B328" i="8"/>
  <c r="AB327" i="8"/>
  <c r="AA327" i="8"/>
  <c r="Z327" i="8"/>
  <c r="AC327" i="8" s="1"/>
  <c r="L327" i="8" s="1"/>
  <c r="P327" i="8"/>
  <c r="K327" i="8"/>
  <c r="D327" i="8"/>
  <c r="B327" i="8"/>
  <c r="AB326" i="8"/>
  <c r="AA326" i="8"/>
  <c r="AC326" i="8" s="1"/>
  <c r="L326" i="8" s="1"/>
  <c r="Z326" i="8"/>
  <c r="P326" i="8"/>
  <c r="K326" i="8"/>
  <c r="D326" i="8"/>
  <c r="B326" i="8"/>
  <c r="AB325" i="8"/>
  <c r="AA325" i="8"/>
  <c r="Z325" i="8"/>
  <c r="AC325" i="8" s="1"/>
  <c r="L325" i="8" s="1"/>
  <c r="P325" i="8"/>
  <c r="K325" i="8"/>
  <c r="D325" i="8"/>
  <c r="B325" i="8"/>
  <c r="AB324" i="8"/>
  <c r="AA324" i="8"/>
  <c r="AC324" i="8" s="1"/>
  <c r="L324" i="8" s="1"/>
  <c r="Z324" i="8"/>
  <c r="P324" i="8"/>
  <c r="K324" i="8"/>
  <c r="D324" i="8"/>
  <c r="B324" i="8"/>
  <c r="AB323" i="8"/>
  <c r="AA323" i="8"/>
  <c r="Z323" i="8"/>
  <c r="AC323" i="8" s="1"/>
  <c r="L323" i="8" s="1"/>
  <c r="P323" i="8"/>
  <c r="K323" i="8"/>
  <c r="D323" i="8"/>
  <c r="B323" i="8"/>
  <c r="AB322" i="8"/>
  <c r="AA322" i="8"/>
  <c r="AC322" i="8" s="1"/>
  <c r="L322" i="8" s="1"/>
  <c r="Z322" i="8"/>
  <c r="P322" i="8"/>
  <c r="K322" i="8"/>
  <c r="D322" i="8"/>
  <c r="B322" i="8"/>
  <c r="AB321" i="8"/>
  <c r="AA321" i="8"/>
  <c r="Z321" i="8"/>
  <c r="AC321" i="8" s="1"/>
  <c r="L321" i="8" s="1"/>
  <c r="P321" i="8"/>
  <c r="K321" i="8"/>
  <c r="D321" i="8"/>
  <c r="B321" i="8"/>
  <c r="AB320" i="8"/>
  <c r="AA320" i="8"/>
  <c r="AC320" i="8" s="1"/>
  <c r="L320" i="8" s="1"/>
  <c r="Z320" i="8"/>
  <c r="P320" i="8"/>
  <c r="K320" i="8"/>
  <c r="D320" i="8"/>
  <c r="B320" i="8"/>
  <c r="AB319" i="8"/>
  <c r="AA319" i="8"/>
  <c r="Z319" i="8"/>
  <c r="AC319" i="8" s="1"/>
  <c r="L319" i="8" s="1"/>
  <c r="P319" i="8"/>
  <c r="K319" i="8"/>
  <c r="D319" i="8"/>
  <c r="B319" i="8"/>
  <c r="AB318" i="8"/>
  <c r="AA318" i="8"/>
  <c r="AC318" i="8" s="1"/>
  <c r="L318" i="8" s="1"/>
  <c r="Z318" i="8"/>
  <c r="P318" i="8"/>
  <c r="K318" i="8"/>
  <c r="D318" i="8"/>
  <c r="B318" i="8"/>
  <c r="AB317" i="8"/>
  <c r="AA317" i="8"/>
  <c r="Z317" i="8"/>
  <c r="AC317" i="8" s="1"/>
  <c r="L317" i="8" s="1"/>
  <c r="P317" i="8"/>
  <c r="K317" i="8"/>
  <c r="D317" i="8"/>
  <c r="B317" i="8"/>
  <c r="AB316" i="8"/>
  <c r="AA316" i="8"/>
  <c r="AC316" i="8" s="1"/>
  <c r="L316" i="8" s="1"/>
  <c r="Z316" i="8"/>
  <c r="P316" i="8"/>
  <c r="K316" i="8"/>
  <c r="D316" i="8"/>
  <c r="B316" i="8"/>
  <c r="AB315" i="8"/>
  <c r="AA315" i="8"/>
  <c r="Z315" i="8"/>
  <c r="AC315" i="8" s="1"/>
  <c r="L315" i="8" s="1"/>
  <c r="P315" i="8"/>
  <c r="K315" i="8"/>
  <c r="D315" i="8"/>
  <c r="B315" i="8"/>
  <c r="AB314" i="8"/>
  <c r="AA314" i="8"/>
  <c r="AC314" i="8" s="1"/>
  <c r="L314" i="8" s="1"/>
  <c r="Z314" i="8"/>
  <c r="P314" i="8"/>
  <c r="K314" i="8"/>
  <c r="D314" i="8"/>
  <c r="B314" i="8"/>
  <c r="AB313" i="8"/>
  <c r="AA313" i="8"/>
  <c r="Z313" i="8"/>
  <c r="AC313" i="8" s="1"/>
  <c r="L313" i="8" s="1"/>
  <c r="P313" i="8"/>
  <c r="K313" i="8"/>
  <c r="D313" i="8"/>
  <c r="B313" i="8"/>
  <c r="AB312" i="8"/>
  <c r="AA312" i="8"/>
  <c r="AC312" i="8" s="1"/>
  <c r="L312" i="8" s="1"/>
  <c r="Z312" i="8"/>
  <c r="P312" i="8"/>
  <c r="K312" i="8"/>
  <c r="D312" i="8"/>
  <c r="B312" i="8"/>
  <c r="AB311" i="8"/>
  <c r="AA311" i="8"/>
  <c r="Z311" i="8"/>
  <c r="AC311" i="8" s="1"/>
  <c r="L311" i="8" s="1"/>
  <c r="P311" i="8"/>
  <c r="K311" i="8"/>
  <c r="D311" i="8"/>
  <c r="B311" i="8"/>
  <c r="AB310" i="8"/>
  <c r="AA310" i="8"/>
  <c r="AC310" i="8" s="1"/>
  <c r="L310" i="8" s="1"/>
  <c r="Z310" i="8"/>
  <c r="P310" i="8"/>
  <c r="K310" i="8"/>
  <c r="D310" i="8"/>
  <c r="B310" i="8"/>
  <c r="AB309" i="8"/>
  <c r="AA309" i="8"/>
  <c r="Z309" i="8"/>
  <c r="AC309" i="8" s="1"/>
  <c r="L309" i="8" s="1"/>
  <c r="P309" i="8"/>
  <c r="K309" i="8"/>
  <c r="D309" i="8"/>
  <c r="B309" i="8"/>
  <c r="AB308" i="8"/>
  <c r="AA308" i="8"/>
  <c r="AC308" i="8" s="1"/>
  <c r="L308" i="8" s="1"/>
  <c r="Z308" i="8"/>
  <c r="P308" i="8"/>
  <c r="K308" i="8"/>
  <c r="D308" i="8"/>
  <c r="B308" i="8"/>
  <c r="AB307" i="8"/>
  <c r="AA307" i="8"/>
  <c r="Z307" i="8"/>
  <c r="AC307" i="8" s="1"/>
  <c r="L307" i="8" s="1"/>
  <c r="P307" i="8"/>
  <c r="K307" i="8"/>
  <c r="D307" i="8"/>
  <c r="B307" i="8"/>
  <c r="AB306" i="8"/>
  <c r="AA306" i="8"/>
  <c r="AC306" i="8" s="1"/>
  <c r="L306" i="8" s="1"/>
  <c r="Z306" i="8"/>
  <c r="P306" i="8"/>
  <c r="K306" i="8"/>
  <c r="D306" i="8"/>
  <c r="B306" i="8"/>
  <c r="AB305" i="8"/>
  <c r="AA305" i="8"/>
  <c r="Z305" i="8"/>
  <c r="AC305" i="8" s="1"/>
  <c r="L305" i="8" s="1"/>
  <c r="P305" i="8"/>
  <c r="K305" i="8"/>
  <c r="D305" i="8"/>
  <c r="B305" i="8"/>
  <c r="AB304" i="8"/>
  <c r="AA304" i="8"/>
  <c r="AC304" i="8" s="1"/>
  <c r="L304" i="8" s="1"/>
  <c r="Z304" i="8"/>
  <c r="P304" i="8"/>
  <c r="K304" i="8"/>
  <c r="D304" i="8"/>
  <c r="B304" i="8"/>
  <c r="AB303" i="8"/>
  <c r="AA303" i="8"/>
  <c r="Z303" i="8"/>
  <c r="AC303" i="8" s="1"/>
  <c r="L303" i="8" s="1"/>
  <c r="P303" i="8"/>
  <c r="K303" i="8"/>
  <c r="D303" i="8"/>
  <c r="B303" i="8"/>
  <c r="AB302" i="8"/>
  <c r="AA302" i="8"/>
  <c r="AC302" i="8" s="1"/>
  <c r="L302" i="8" s="1"/>
  <c r="Z302" i="8"/>
  <c r="P302" i="8"/>
  <c r="K302" i="8"/>
  <c r="D302" i="8"/>
  <c r="B302" i="8"/>
  <c r="AB301" i="8"/>
  <c r="AA301" i="8"/>
  <c r="Z301" i="8"/>
  <c r="AC301" i="8" s="1"/>
  <c r="L301" i="8" s="1"/>
  <c r="P301" i="8"/>
  <c r="K301" i="8"/>
  <c r="D301" i="8"/>
  <c r="B301" i="8"/>
  <c r="AB300" i="8"/>
  <c r="AA300" i="8"/>
  <c r="AC300" i="8" s="1"/>
  <c r="L300" i="8" s="1"/>
  <c r="Z300" i="8"/>
  <c r="P300" i="8"/>
  <c r="K300" i="8"/>
  <c r="D300" i="8"/>
  <c r="B300" i="8"/>
  <c r="AB299" i="8"/>
  <c r="AA299" i="8"/>
  <c r="Z299" i="8"/>
  <c r="AC299" i="8" s="1"/>
  <c r="L299" i="8" s="1"/>
  <c r="P299" i="8"/>
  <c r="K299" i="8"/>
  <c r="D299" i="8"/>
  <c r="B299" i="8"/>
  <c r="AB298" i="8"/>
  <c r="AA298" i="8"/>
  <c r="AC298" i="8" s="1"/>
  <c r="L298" i="8" s="1"/>
  <c r="Z298" i="8"/>
  <c r="P298" i="8"/>
  <c r="K298" i="8"/>
  <c r="D298" i="8"/>
  <c r="B298" i="8"/>
  <c r="AB297" i="8"/>
  <c r="AA297" i="8"/>
  <c r="Z297" i="8"/>
  <c r="AC297" i="8" s="1"/>
  <c r="L297" i="8" s="1"/>
  <c r="P297" i="8"/>
  <c r="K297" i="8"/>
  <c r="D297" i="8"/>
  <c r="B297" i="8"/>
  <c r="AB296" i="8"/>
  <c r="AA296" i="8"/>
  <c r="AC296" i="8" s="1"/>
  <c r="L296" i="8" s="1"/>
  <c r="Z296" i="8"/>
  <c r="P296" i="8"/>
  <c r="K296" i="8"/>
  <c r="D296" i="8"/>
  <c r="B296" i="8"/>
  <c r="AB295" i="8"/>
  <c r="AA295" i="8"/>
  <c r="Z295" i="8"/>
  <c r="AC295" i="8" s="1"/>
  <c r="L295" i="8" s="1"/>
  <c r="P295" i="8"/>
  <c r="K295" i="8"/>
  <c r="D295" i="8"/>
  <c r="B295" i="8"/>
  <c r="AB294" i="8"/>
  <c r="AA294" i="8"/>
  <c r="AC294" i="8" s="1"/>
  <c r="L294" i="8" s="1"/>
  <c r="Z294" i="8"/>
  <c r="P294" i="8"/>
  <c r="K294" i="8"/>
  <c r="D294" i="8"/>
  <c r="B294" i="8"/>
  <c r="AB293" i="8"/>
  <c r="AA293" i="8"/>
  <c r="Z293" i="8"/>
  <c r="AC293" i="8" s="1"/>
  <c r="L293" i="8" s="1"/>
  <c r="P293" i="8"/>
  <c r="K293" i="8"/>
  <c r="D293" i="8"/>
  <c r="B293" i="8"/>
  <c r="AB291" i="8"/>
  <c r="AA291" i="8"/>
  <c r="AC291" i="8" s="1"/>
  <c r="L291" i="8" s="1"/>
  <c r="Z291" i="8"/>
  <c r="P291" i="8"/>
  <c r="K291" i="8"/>
  <c r="D291" i="8"/>
  <c r="B291" i="8"/>
  <c r="AB290" i="8"/>
  <c r="AA290" i="8"/>
  <c r="Z290" i="8"/>
  <c r="AC290" i="8" s="1"/>
  <c r="L290" i="8" s="1"/>
  <c r="P290" i="8"/>
  <c r="K290" i="8"/>
  <c r="D290" i="8"/>
  <c r="B290" i="8"/>
  <c r="AB289" i="8"/>
  <c r="AA289" i="8"/>
  <c r="AC289" i="8" s="1"/>
  <c r="L289" i="8" s="1"/>
  <c r="Z289" i="8"/>
  <c r="P289" i="8"/>
  <c r="K289" i="8"/>
  <c r="D289" i="8"/>
  <c r="B289" i="8"/>
  <c r="AB288" i="8"/>
  <c r="AA288" i="8"/>
  <c r="Z288" i="8"/>
  <c r="AC288" i="8" s="1"/>
  <c r="L288" i="8" s="1"/>
  <c r="P288" i="8"/>
  <c r="K288" i="8"/>
  <c r="D288" i="8"/>
  <c r="B288" i="8"/>
  <c r="AB287" i="8"/>
  <c r="AA287" i="8"/>
  <c r="AC287" i="8" s="1"/>
  <c r="L287" i="8" s="1"/>
  <c r="Z287" i="8"/>
  <c r="P287" i="8"/>
  <c r="K287" i="8"/>
  <c r="D287" i="8"/>
  <c r="B287" i="8"/>
  <c r="AB286" i="8"/>
  <c r="AA286" i="8"/>
  <c r="Z286" i="8"/>
  <c r="AC286" i="8" s="1"/>
  <c r="L286" i="8" s="1"/>
  <c r="P286" i="8"/>
  <c r="K286" i="8"/>
  <c r="D286" i="8"/>
  <c r="B286" i="8"/>
  <c r="AB285" i="8"/>
  <c r="AA285" i="8"/>
  <c r="AC285" i="8" s="1"/>
  <c r="L285" i="8" s="1"/>
  <c r="Z285" i="8"/>
  <c r="P285" i="8"/>
  <c r="K285" i="8"/>
  <c r="D285" i="8"/>
  <c r="B285" i="8"/>
  <c r="AB284" i="8"/>
  <c r="AA284" i="8"/>
  <c r="Z284" i="8"/>
  <c r="AC284" i="8" s="1"/>
  <c r="L284" i="8" s="1"/>
  <c r="P284" i="8"/>
  <c r="K284" i="8"/>
  <c r="D284" i="8"/>
  <c r="B284" i="8"/>
  <c r="AB283" i="8"/>
  <c r="AA283" i="8"/>
  <c r="AC283" i="8" s="1"/>
  <c r="L283" i="8" s="1"/>
  <c r="Z283" i="8"/>
  <c r="P283" i="8"/>
  <c r="K283" i="8"/>
  <c r="D283" i="8"/>
  <c r="B283" i="8"/>
  <c r="AB282" i="8"/>
  <c r="AA282" i="8"/>
  <c r="Z282" i="8"/>
  <c r="AC282" i="8" s="1"/>
  <c r="L282" i="8" s="1"/>
  <c r="P282" i="8"/>
  <c r="K282" i="8"/>
  <c r="D282" i="8"/>
  <c r="B282" i="8"/>
  <c r="AB281" i="8"/>
  <c r="AA281" i="8"/>
  <c r="AC281" i="8" s="1"/>
  <c r="L281" i="8" s="1"/>
  <c r="Z281" i="8"/>
  <c r="P281" i="8"/>
  <c r="K281" i="8"/>
  <c r="D281" i="8"/>
  <c r="B281" i="8"/>
  <c r="AB280" i="8"/>
  <c r="AA280" i="8"/>
  <c r="Z280" i="8"/>
  <c r="AC280" i="8" s="1"/>
  <c r="L280" i="8" s="1"/>
  <c r="P280" i="8"/>
  <c r="K280" i="8"/>
  <c r="D280" i="8"/>
  <c r="B280" i="8"/>
  <c r="AB279" i="8"/>
  <c r="AA279" i="8"/>
  <c r="AC279" i="8" s="1"/>
  <c r="L279" i="8" s="1"/>
  <c r="Z279" i="8"/>
  <c r="P279" i="8"/>
  <c r="K279" i="8"/>
  <c r="D279" i="8"/>
  <c r="B279" i="8"/>
  <c r="AB278" i="8"/>
  <c r="AA278" i="8"/>
  <c r="Z278" i="8"/>
  <c r="AC278" i="8" s="1"/>
  <c r="L278" i="8" s="1"/>
  <c r="P278" i="8"/>
  <c r="K278" i="8"/>
  <c r="D278" i="8"/>
  <c r="B278" i="8"/>
  <c r="AB277" i="8"/>
  <c r="AA277" i="8"/>
  <c r="AC277" i="8" s="1"/>
  <c r="L277" i="8" s="1"/>
  <c r="Z277" i="8"/>
  <c r="P277" i="8"/>
  <c r="K277" i="8"/>
  <c r="D277" i="8"/>
  <c r="B277" i="8"/>
  <c r="AB276" i="8"/>
  <c r="AA276" i="8"/>
  <c r="Z276" i="8"/>
  <c r="AC276" i="8" s="1"/>
  <c r="L276" i="8" s="1"/>
  <c r="P276" i="8"/>
  <c r="K276" i="8"/>
  <c r="D276" i="8"/>
  <c r="B276" i="8"/>
  <c r="AB275" i="8"/>
  <c r="AA275" i="8"/>
  <c r="AC275" i="8" s="1"/>
  <c r="L275" i="8" s="1"/>
  <c r="Z275" i="8"/>
  <c r="P275" i="8"/>
  <c r="K275" i="8"/>
  <c r="D275" i="8"/>
  <c r="B275" i="8"/>
  <c r="AB274" i="8"/>
  <c r="AA274" i="8"/>
  <c r="Z274" i="8"/>
  <c r="AC274" i="8" s="1"/>
  <c r="L274" i="8" s="1"/>
  <c r="P274" i="8"/>
  <c r="K274" i="8"/>
  <c r="D274" i="8"/>
  <c r="B274" i="8"/>
  <c r="AB273" i="8"/>
  <c r="AA273" i="8"/>
  <c r="AC273" i="8" s="1"/>
  <c r="L273" i="8" s="1"/>
  <c r="Z273" i="8"/>
  <c r="P273" i="8"/>
  <c r="K273" i="8"/>
  <c r="D273" i="8"/>
  <c r="B273" i="8"/>
  <c r="AB272" i="8"/>
  <c r="AA272" i="8"/>
  <c r="Z272" i="8"/>
  <c r="AC272" i="8" s="1"/>
  <c r="L272" i="8" s="1"/>
  <c r="P272" i="8"/>
  <c r="K272" i="8"/>
  <c r="D272" i="8"/>
  <c r="B272" i="8"/>
  <c r="AB271" i="8"/>
  <c r="AA271" i="8"/>
  <c r="AC271" i="8" s="1"/>
  <c r="L271" i="8" s="1"/>
  <c r="Z271" i="8"/>
  <c r="P271" i="8"/>
  <c r="K271" i="8"/>
  <c r="D271" i="8"/>
  <c r="B271" i="8"/>
  <c r="AB270" i="8"/>
  <c r="AA270" i="8"/>
  <c r="Z270" i="8"/>
  <c r="AC270" i="8" s="1"/>
  <c r="L270" i="8" s="1"/>
  <c r="P270" i="8"/>
  <c r="K270" i="8"/>
  <c r="D270" i="8"/>
  <c r="B270" i="8"/>
  <c r="AB269" i="8"/>
  <c r="AA269" i="8"/>
  <c r="AC269" i="8" s="1"/>
  <c r="L269" i="8" s="1"/>
  <c r="Z269" i="8"/>
  <c r="P269" i="8"/>
  <c r="K269" i="8"/>
  <c r="D269" i="8"/>
  <c r="B269" i="8"/>
  <c r="AB268" i="8"/>
  <c r="AA268" i="8"/>
  <c r="Z268" i="8"/>
  <c r="AC268" i="8" s="1"/>
  <c r="L268" i="8" s="1"/>
  <c r="P268" i="8"/>
  <c r="K268" i="8"/>
  <c r="D268" i="8"/>
  <c r="B268" i="8"/>
  <c r="AB267" i="8"/>
  <c r="AA267" i="8"/>
  <c r="AC267" i="8" s="1"/>
  <c r="L267" i="8" s="1"/>
  <c r="Z267" i="8"/>
  <c r="P267" i="8"/>
  <c r="K267" i="8"/>
  <c r="D267" i="8"/>
  <c r="B267" i="8"/>
  <c r="AB266" i="8"/>
  <c r="AA266" i="8"/>
  <c r="Z266" i="8"/>
  <c r="AC266" i="8" s="1"/>
  <c r="L266" i="8" s="1"/>
  <c r="P266" i="8"/>
  <c r="K266" i="8"/>
  <c r="D266" i="8"/>
  <c r="B266" i="8"/>
  <c r="AB265" i="8"/>
  <c r="AA265" i="8"/>
  <c r="AC265" i="8" s="1"/>
  <c r="L265" i="8" s="1"/>
  <c r="Z265" i="8"/>
  <c r="P265" i="8"/>
  <c r="K265" i="8"/>
  <c r="D265" i="8"/>
  <c r="B265" i="8"/>
  <c r="AB264" i="8"/>
  <c r="AA264" i="8"/>
  <c r="Z264" i="8"/>
  <c r="AC264" i="8" s="1"/>
  <c r="L264" i="8" s="1"/>
  <c r="P264" i="8"/>
  <c r="K264" i="8"/>
  <c r="D264" i="8"/>
  <c r="B264" i="8"/>
  <c r="AB263" i="8"/>
  <c r="AA263" i="8"/>
  <c r="AC263" i="8" s="1"/>
  <c r="L263" i="8" s="1"/>
  <c r="Z263" i="8"/>
  <c r="P263" i="8"/>
  <c r="K263" i="8"/>
  <c r="D263" i="8"/>
  <c r="B263" i="8"/>
  <c r="AB262" i="8"/>
  <c r="AA262" i="8"/>
  <c r="Z262" i="8"/>
  <c r="AC262" i="8" s="1"/>
  <c r="L262" i="8" s="1"/>
  <c r="P262" i="8"/>
  <c r="K262" i="8"/>
  <c r="D262" i="8"/>
  <c r="B262" i="8"/>
  <c r="AB261" i="8"/>
  <c r="AA261" i="8"/>
  <c r="AC261" i="8" s="1"/>
  <c r="L261" i="8" s="1"/>
  <c r="Z261" i="8"/>
  <c r="P261" i="8"/>
  <c r="K261" i="8"/>
  <c r="D261" i="8"/>
  <c r="B261" i="8"/>
  <c r="AB260" i="8"/>
  <c r="AA260" i="8"/>
  <c r="Z260" i="8"/>
  <c r="AC260" i="8" s="1"/>
  <c r="L260" i="8" s="1"/>
  <c r="P260" i="8"/>
  <c r="K260" i="8"/>
  <c r="D260" i="8"/>
  <c r="B260" i="8"/>
  <c r="AB259" i="8"/>
  <c r="AA259" i="8"/>
  <c r="AC259" i="8" s="1"/>
  <c r="L259" i="8" s="1"/>
  <c r="Z259" i="8"/>
  <c r="P259" i="8"/>
  <c r="K259" i="8"/>
  <c r="D259" i="8"/>
  <c r="B259" i="8"/>
  <c r="AB258" i="8"/>
  <c r="AA258" i="8"/>
  <c r="Z258" i="8"/>
  <c r="AC258" i="8" s="1"/>
  <c r="L258" i="8" s="1"/>
  <c r="P258" i="8"/>
  <c r="K258" i="8"/>
  <c r="D258" i="8"/>
  <c r="B258" i="8"/>
  <c r="AB257" i="8"/>
  <c r="AA257" i="8"/>
  <c r="AC257" i="8" s="1"/>
  <c r="L257" i="8" s="1"/>
  <c r="Z257" i="8"/>
  <c r="P257" i="8"/>
  <c r="K257" i="8"/>
  <c r="D257" i="8"/>
  <c r="B257" i="8"/>
  <c r="AB256" i="8"/>
  <c r="AA256" i="8"/>
  <c r="Z256" i="8"/>
  <c r="AC256" i="8" s="1"/>
  <c r="L256" i="8" s="1"/>
  <c r="P256" i="8"/>
  <c r="K256" i="8"/>
  <c r="D256" i="8"/>
  <c r="B256" i="8"/>
  <c r="AB254" i="8"/>
  <c r="AA254" i="8"/>
  <c r="AC254" i="8" s="1"/>
  <c r="L254" i="8" s="1"/>
  <c r="Z254" i="8"/>
  <c r="P254" i="8"/>
  <c r="K254" i="8"/>
  <c r="D254" i="8"/>
  <c r="B254" i="8"/>
  <c r="AB253" i="8"/>
  <c r="AA253" i="8"/>
  <c r="Z253" i="8"/>
  <c r="AC253" i="8" s="1"/>
  <c r="L253" i="8" s="1"/>
  <c r="P253" i="8"/>
  <c r="K253" i="8"/>
  <c r="D253" i="8"/>
  <c r="B253" i="8"/>
  <c r="AB252" i="8"/>
  <c r="AA252" i="8"/>
  <c r="AC252" i="8" s="1"/>
  <c r="L252" i="8" s="1"/>
  <c r="Z252" i="8"/>
  <c r="P252" i="8"/>
  <c r="K252" i="8"/>
  <c r="D252" i="8"/>
  <c r="B252" i="8"/>
  <c r="AB251" i="8"/>
  <c r="AA251" i="8"/>
  <c r="Z251" i="8"/>
  <c r="AC251" i="8" s="1"/>
  <c r="L251" i="8" s="1"/>
  <c r="P251" i="8"/>
  <c r="K251" i="8"/>
  <c r="D251" i="8"/>
  <c r="B251" i="8"/>
  <c r="AB250" i="8"/>
  <c r="AA250" i="8"/>
  <c r="AC250" i="8" s="1"/>
  <c r="L250" i="8" s="1"/>
  <c r="Z250" i="8"/>
  <c r="P250" i="8"/>
  <c r="K250" i="8"/>
  <c r="D250" i="8"/>
  <c r="B250" i="8"/>
  <c r="AB249" i="8"/>
  <c r="AA249" i="8"/>
  <c r="Z249" i="8"/>
  <c r="AC249" i="8" s="1"/>
  <c r="L249" i="8" s="1"/>
  <c r="P249" i="8"/>
  <c r="K249" i="8"/>
  <c r="D249" i="8"/>
  <c r="B249" i="8"/>
  <c r="AB248" i="8"/>
  <c r="AA248" i="8"/>
  <c r="AC248" i="8" s="1"/>
  <c r="L248" i="8" s="1"/>
  <c r="Z248" i="8"/>
  <c r="P248" i="8"/>
  <c r="K248" i="8"/>
  <c r="D248" i="8"/>
  <c r="B248" i="8"/>
  <c r="AB247" i="8"/>
  <c r="AA247" i="8"/>
  <c r="Z247" i="8"/>
  <c r="AC247" i="8" s="1"/>
  <c r="L247" i="8" s="1"/>
  <c r="P247" i="8"/>
  <c r="K247" i="8"/>
  <c r="D247" i="8"/>
  <c r="B247" i="8"/>
  <c r="AB246" i="8"/>
  <c r="AA246" i="8"/>
  <c r="AC246" i="8" s="1"/>
  <c r="L246" i="8" s="1"/>
  <c r="Z246" i="8"/>
  <c r="P246" i="8"/>
  <c r="K246" i="8"/>
  <c r="D246" i="8"/>
  <c r="B246" i="8"/>
  <c r="AB245" i="8"/>
  <c r="AA245" i="8"/>
  <c r="Z245" i="8"/>
  <c r="AC245" i="8" s="1"/>
  <c r="L245" i="8" s="1"/>
  <c r="P245" i="8"/>
  <c r="K245" i="8"/>
  <c r="D245" i="8"/>
  <c r="B245" i="8"/>
  <c r="AB244" i="8"/>
  <c r="AA244" i="8"/>
  <c r="AC244" i="8" s="1"/>
  <c r="L244" i="8" s="1"/>
  <c r="Z244" i="8"/>
  <c r="P244" i="8"/>
  <c r="K244" i="8"/>
  <c r="D244" i="8"/>
  <c r="B244" i="8"/>
  <c r="AB243" i="8"/>
  <c r="AA243" i="8"/>
  <c r="Z243" i="8"/>
  <c r="AC243" i="8" s="1"/>
  <c r="L243" i="8" s="1"/>
  <c r="P243" i="8"/>
  <c r="K243" i="8"/>
  <c r="D243" i="8"/>
  <c r="B243" i="8"/>
  <c r="AB242" i="8"/>
  <c r="AA242" i="8"/>
  <c r="AC242" i="8" s="1"/>
  <c r="L242" i="8" s="1"/>
  <c r="Z242" i="8"/>
  <c r="P242" i="8"/>
  <c r="K242" i="8"/>
  <c r="D242" i="8"/>
  <c r="B242" i="8"/>
  <c r="AB241" i="8"/>
  <c r="AA241" i="8"/>
  <c r="Z241" i="8"/>
  <c r="AC241" i="8" s="1"/>
  <c r="L241" i="8" s="1"/>
  <c r="P241" i="8"/>
  <c r="K241" i="8"/>
  <c r="D241" i="8"/>
  <c r="B241" i="8"/>
  <c r="AB240" i="8"/>
  <c r="AA240" i="8"/>
  <c r="AC240" i="8" s="1"/>
  <c r="L240" i="8" s="1"/>
  <c r="Z240" i="8"/>
  <c r="P240" i="8"/>
  <c r="K240" i="8"/>
  <c r="D240" i="8"/>
  <c r="B240" i="8"/>
  <c r="AB239" i="8"/>
  <c r="AA239" i="8"/>
  <c r="Z239" i="8"/>
  <c r="AC239" i="8" s="1"/>
  <c r="L239" i="8" s="1"/>
  <c r="P239" i="8"/>
  <c r="K239" i="8"/>
  <c r="D239" i="8"/>
  <c r="B239" i="8"/>
  <c r="AB238" i="8"/>
  <c r="AA238" i="8"/>
  <c r="AC238" i="8" s="1"/>
  <c r="L238" i="8" s="1"/>
  <c r="Z238" i="8"/>
  <c r="P238" i="8"/>
  <c r="K238" i="8"/>
  <c r="D238" i="8"/>
  <c r="B238" i="8"/>
  <c r="AB237" i="8"/>
  <c r="AA237" i="8"/>
  <c r="Z237" i="8"/>
  <c r="AC237" i="8" s="1"/>
  <c r="L237" i="8" s="1"/>
  <c r="P237" i="8"/>
  <c r="K237" i="8"/>
  <c r="D237" i="8"/>
  <c r="B237" i="8"/>
  <c r="AB236" i="8"/>
  <c r="AA236" i="8"/>
  <c r="AC236" i="8" s="1"/>
  <c r="L236" i="8" s="1"/>
  <c r="Z236" i="8"/>
  <c r="P236" i="8"/>
  <c r="K236" i="8"/>
  <c r="D236" i="8"/>
  <c r="B236" i="8"/>
  <c r="AB235" i="8"/>
  <c r="AA235" i="8"/>
  <c r="Z235" i="8"/>
  <c r="AC235" i="8" s="1"/>
  <c r="L235" i="8" s="1"/>
  <c r="P235" i="8"/>
  <c r="K235" i="8"/>
  <c r="D235" i="8"/>
  <c r="B235" i="8"/>
  <c r="AB234" i="8"/>
  <c r="AA234" i="8"/>
  <c r="AC234" i="8" s="1"/>
  <c r="L234" i="8" s="1"/>
  <c r="Z234" i="8"/>
  <c r="P234" i="8"/>
  <c r="K234" i="8"/>
  <c r="D234" i="8"/>
  <c r="B234" i="8"/>
  <c r="AB233" i="8"/>
  <c r="AA233" i="8"/>
  <c r="Z233" i="8"/>
  <c r="AC233" i="8" s="1"/>
  <c r="L233" i="8" s="1"/>
  <c r="P233" i="8"/>
  <c r="K233" i="8"/>
  <c r="D233" i="8"/>
  <c r="B233" i="8"/>
  <c r="AB232" i="8"/>
  <c r="AA232" i="8"/>
  <c r="AC232" i="8" s="1"/>
  <c r="L232" i="8" s="1"/>
  <c r="Z232" i="8"/>
  <c r="P232" i="8"/>
  <c r="K232" i="8"/>
  <c r="D232" i="8"/>
  <c r="B232" i="8"/>
  <c r="AB230" i="8"/>
  <c r="AA230" i="8"/>
  <c r="Z230" i="8"/>
  <c r="AC230" i="8" s="1"/>
  <c r="L230" i="8" s="1"/>
  <c r="P230" i="8"/>
  <c r="K230" i="8"/>
  <c r="D230" i="8"/>
  <c r="B230" i="8"/>
  <c r="AB229" i="8"/>
  <c r="AA229" i="8"/>
  <c r="AC229" i="8" s="1"/>
  <c r="L229" i="8" s="1"/>
  <c r="Z229" i="8"/>
  <c r="P229" i="8"/>
  <c r="K229" i="8"/>
  <c r="D229" i="8"/>
  <c r="B229" i="8"/>
  <c r="AB228" i="8"/>
  <c r="AA228" i="8"/>
  <c r="Z228" i="8"/>
  <c r="AC228" i="8" s="1"/>
  <c r="L228" i="8" s="1"/>
  <c r="P228" i="8"/>
  <c r="K228" i="8"/>
  <c r="D228" i="8"/>
  <c r="B228" i="8"/>
  <c r="AB227" i="8"/>
  <c r="AA227" i="8"/>
  <c r="AC227" i="8" s="1"/>
  <c r="L227" i="8" s="1"/>
  <c r="Z227" i="8"/>
  <c r="P227" i="8"/>
  <c r="K227" i="8"/>
  <c r="D227" i="8"/>
  <c r="B227" i="8"/>
  <c r="AB226" i="8"/>
  <c r="AA226" i="8"/>
  <c r="Z226" i="8"/>
  <c r="AC226" i="8" s="1"/>
  <c r="L226" i="8" s="1"/>
  <c r="P226" i="8"/>
  <c r="K226" i="8"/>
  <c r="D226" i="8"/>
  <c r="B226" i="8"/>
  <c r="AB225" i="8"/>
  <c r="AA225" i="8"/>
  <c r="AC225" i="8" s="1"/>
  <c r="L225" i="8" s="1"/>
  <c r="Z225" i="8"/>
  <c r="P225" i="8"/>
  <c r="K225" i="8"/>
  <c r="D225" i="8"/>
  <c r="B225" i="8"/>
  <c r="AB224" i="8"/>
  <c r="AA224" i="8"/>
  <c r="Z224" i="8"/>
  <c r="AC224" i="8" s="1"/>
  <c r="L224" i="8" s="1"/>
  <c r="P224" i="8"/>
  <c r="K224" i="8"/>
  <c r="D224" i="8"/>
  <c r="B224" i="8"/>
  <c r="AB223" i="8"/>
  <c r="AA223" i="8"/>
  <c r="AC223" i="8" s="1"/>
  <c r="L223" i="8" s="1"/>
  <c r="Z223" i="8"/>
  <c r="P223" i="8"/>
  <c r="K223" i="8"/>
  <c r="D223" i="8"/>
  <c r="B223" i="8"/>
  <c r="AB222" i="8"/>
  <c r="AA222" i="8"/>
  <c r="Z222" i="8"/>
  <c r="AC222" i="8" s="1"/>
  <c r="L222" i="8" s="1"/>
  <c r="P222" i="8"/>
  <c r="K222" i="8"/>
  <c r="D222" i="8"/>
  <c r="B222" i="8"/>
  <c r="AB221" i="8"/>
  <c r="AA221" i="8"/>
  <c r="AC221" i="8" s="1"/>
  <c r="L221" i="8" s="1"/>
  <c r="Z221" i="8"/>
  <c r="P221" i="8"/>
  <c r="K221" i="8"/>
  <c r="D221" i="8"/>
  <c r="B221" i="8"/>
  <c r="AB220" i="8"/>
  <c r="AA220" i="8"/>
  <c r="Z220" i="8"/>
  <c r="AC220" i="8" s="1"/>
  <c r="L220" i="8" s="1"/>
  <c r="P220" i="8"/>
  <c r="K220" i="8"/>
  <c r="D220" i="8"/>
  <c r="B220" i="8"/>
  <c r="AB219" i="8"/>
  <c r="AA219" i="8"/>
  <c r="AC219" i="8" s="1"/>
  <c r="L219" i="8" s="1"/>
  <c r="Z219" i="8"/>
  <c r="P219" i="8"/>
  <c r="K219" i="8"/>
  <c r="D219" i="8"/>
  <c r="B219" i="8"/>
  <c r="AB218" i="8"/>
  <c r="AA218" i="8"/>
  <c r="Z218" i="8"/>
  <c r="AC218" i="8" s="1"/>
  <c r="L218" i="8" s="1"/>
  <c r="P218" i="8"/>
  <c r="K218" i="8"/>
  <c r="D218" i="8"/>
  <c r="B218" i="8"/>
  <c r="AB217" i="8"/>
  <c r="AA217" i="8"/>
  <c r="AC217" i="8" s="1"/>
  <c r="L217" i="8" s="1"/>
  <c r="Z217" i="8"/>
  <c r="P217" i="8"/>
  <c r="K217" i="8"/>
  <c r="D217" i="8"/>
  <c r="B217" i="8"/>
  <c r="AB216" i="8"/>
  <c r="AA216" i="8"/>
  <c r="Z216" i="8"/>
  <c r="AC216" i="8" s="1"/>
  <c r="L216" i="8" s="1"/>
  <c r="P216" i="8"/>
  <c r="K216" i="8"/>
  <c r="D216" i="8"/>
  <c r="B216" i="8"/>
  <c r="AB215" i="8"/>
  <c r="AA215" i="8"/>
  <c r="AC215" i="8" s="1"/>
  <c r="L215" i="8" s="1"/>
  <c r="Z215" i="8"/>
  <c r="P215" i="8"/>
  <c r="K215" i="8"/>
  <c r="D215" i="8"/>
  <c r="B215" i="8"/>
  <c r="AB214" i="8"/>
  <c r="AA214" i="8"/>
  <c r="Z214" i="8"/>
  <c r="AC214" i="8" s="1"/>
  <c r="L214" i="8" s="1"/>
  <c r="P214" i="8"/>
  <c r="K214" i="8"/>
  <c r="D214" i="8"/>
  <c r="B214" i="8"/>
  <c r="AB213" i="8"/>
  <c r="AA213" i="8"/>
  <c r="AC213" i="8" s="1"/>
  <c r="L213" i="8" s="1"/>
  <c r="Z213" i="8"/>
  <c r="P213" i="8"/>
  <c r="K213" i="8"/>
  <c r="D213" i="8"/>
  <c r="B213" i="8"/>
  <c r="AB212" i="8"/>
  <c r="AA212" i="8"/>
  <c r="Z212" i="8"/>
  <c r="AC212" i="8" s="1"/>
  <c r="L212" i="8" s="1"/>
  <c r="P212" i="8"/>
  <c r="K212" i="8"/>
  <c r="D212" i="8"/>
  <c r="B212" i="8"/>
  <c r="AB211" i="8"/>
  <c r="AA211" i="8"/>
  <c r="AC211" i="8" s="1"/>
  <c r="L211" i="8" s="1"/>
  <c r="Z211" i="8"/>
  <c r="P211" i="8"/>
  <c r="K211" i="8"/>
  <c r="D211" i="8"/>
  <c r="B211" i="8"/>
  <c r="AB210" i="8"/>
  <c r="AA210" i="8"/>
  <c r="Z210" i="8"/>
  <c r="AC210" i="8" s="1"/>
  <c r="L210" i="8" s="1"/>
  <c r="P210" i="8"/>
  <c r="K210" i="8"/>
  <c r="D210" i="8"/>
  <c r="B210" i="8"/>
  <c r="AB209" i="8"/>
  <c r="AA209" i="8"/>
  <c r="AC209" i="8" s="1"/>
  <c r="L209" i="8" s="1"/>
  <c r="Z209" i="8"/>
  <c r="P209" i="8"/>
  <c r="K209" i="8"/>
  <c r="D209" i="8"/>
  <c r="B209" i="8"/>
  <c r="AB208" i="8"/>
  <c r="AA208" i="8"/>
  <c r="Z208" i="8"/>
  <c r="AC208" i="8" s="1"/>
  <c r="L208" i="8" s="1"/>
  <c r="P208" i="8"/>
  <c r="K208" i="8"/>
  <c r="D208" i="8"/>
  <c r="B208" i="8"/>
  <c r="AB207" i="8"/>
  <c r="AA207" i="8"/>
  <c r="AC207" i="8" s="1"/>
  <c r="L207" i="8" s="1"/>
  <c r="Z207" i="8"/>
  <c r="P207" i="8"/>
  <c r="K207" i="8"/>
  <c r="D207" i="8"/>
  <c r="B207" i="8"/>
  <c r="AB206" i="8"/>
  <c r="AA206" i="8"/>
  <c r="Z206" i="8"/>
  <c r="AC206" i="8" s="1"/>
  <c r="L206" i="8" s="1"/>
  <c r="P206" i="8"/>
  <c r="K206" i="8"/>
  <c r="D206" i="8"/>
  <c r="B206" i="8"/>
  <c r="AB205" i="8"/>
  <c r="AA205" i="8"/>
  <c r="AC205" i="8" s="1"/>
  <c r="L205" i="8" s="1"/>
  <c r="Z205" i="8"/>
  <c r="P205" i="8"/>
  <c r="K205" i="8"/>
  <c r="D205" i="8"/>
  <c r="B205" i="8"/>
  <c r="AB204" i="8"/>
  <c r="AA204" i="8"/>
  <c r="Z204" i="8"/>
  <c r="AC204" i="8" s="1"/>
  <c r="L204" i="8" s="1"/>
  <c r="P204" i="8"/>
  <c r="K204" i="8"/>
  <c r="D204" i="8"/>
  <c r="B204" i="8"/>
  <c r="AB203" i="8"/>
  <c r="AA203" i="8"/>
  <c r="AC203" i="8" s="1"/>
  <c r="L203" i="8" s="1"/>
  <c r="Z203" i="8"/>
  <c r="P203" i="8"/>
  <c r="K203" i="8"/>
  <c r="D203" i="8"/>
  <c r="B203" i="8"/>
  <c r="AB202" i="8"/>
  <c r="AA202" i="8"/>
  <c r="Z202" i="8"/>
  <c r="AC202" i="8" s="1"/>
  <c r="L202" i="8" s="1"/>
  <c r="P202" i="8"/>
  <c r="K202" i="8"/>
  <c r="D202" i="8"/>
  <c r="B202" i="8"/>
  <c r="AB201" i="8"/>
  <c r="AA201" i="8"/>
  <c r="AC201" i="8" s="1"/>
  <c r="L201" i="8" s="1"/>
  <c r="Z201" i="8"/>
  <c r="P201" i="8"/>
  <c r="K201" i="8"/>
  <c r="D201" i="8"/>
  <c r="B201" i="8"/>
  <c r="AB200" i="8"/>
  <c r="AA200" i="8"/>
  <c r="Z200" i="8"/>
  <c r="AC200" i="8" s="1"/>
  <c r="L200" i="8" s="1"/>
  <c r="P200" i="8"/>
  <c r="K200" i="8"/>
  <c r="D200" i="8"/>
  <c r="B200" i="8"/>
  <c r="AB199" i="8"/>
  <c r="AA199" i="8"/>
  <c r="AC199" i="8" s="1"/>
  <c r="L199" i="8" s="1"/>
  <c r="Z199" i="8"/>
  <c r="P199" i="8"/>
  <c r="K199" i="8"/>
  <c r="D199" i="8"/>
  <c r="B199" i="8"/>
  <c r="AB198" i="8"/>
  <c r="AA198" i="8"/>
  <c r="Z198" i="8"/>
  <c r="AC198" i="8" s="1"/>
  <c r="L198" i="8" s="1"/>
  <c r="P198" i="8"/>
  <c r="K198" i="8"/>
  <c r="D198" i="8"/>
  <c r="B198" i="8"/>
  <c r="AB197" i="8"/>
  <c r="AA197" i="8"/>
  <c r="AC197" i="8" s="1"/>
  <c r="L197" i="8" s="1"/>
  <c r="Z197" i="8"/>
  <c r="P197" i="8"/>
  <c r="K197" i="8"/>
  <c r="D197" i="8"/>
  <c r="B197" i="8"/>
  <c r="AB196" i="8"/>
  <c r="AA196" i="8"/>
  <c r="Z196" i="8"/>
  <c r="AC196" i="8" s="1"/>
  <c r="L196" i="8" s="1"/>
  <c r="P196" i="8"/>
  <c r="K196" i="8"/>
  <c r="D196" i="8"/>
  <c r="B196" i="8"/>
  <c r="AB195" i="8"/>
  <c r="AA195" i="8"/>
  <c r="AC195" i="8" s="1"/>
  <c r="L195" i="8" s="1"/>
  <c r="Z195" i="8"/>
  <c r="P195" i="8"/>
  <c r="K195" i="8"/>
  <c r="D195" i="8"/>
  <c r="B195" i="8"/>
  <c r="AB194" i="8"/>
  <c r="AA194" i="8"/>
  <c r="Z194" i="8"/>
  <c r="AC194" i="8" s="1"/>
  <c r="L194" i="8" s="1"/>
  <c r="P194" i="8"/>
  <c r="K194" i="8"/>
  <c r="D194" i="8"/>
  <c r="B194" i="8"/>
  <c r="AB193" i="8"/>
  <c r="AA193" i="8"/>
  <c r="AC193" i="8" s="1"/>
  <c r="L193" i="8" s="1"/>
  <c r="Z193" i="8"/>
  <c r="P193" i="8"/>
  <c r="K193" i="8"/>
  <c r="D193" i="8"/>
  <c r="B193" i="8"/>
  <c r="AB192" i="8"/>
  <c r="AA192" i="8"/>
  <c r="Z192" i="8"/>
  <c r="AC192" i="8" s="1"/>
  <c r="L192" i="8" s="1"/>
  <c r="P192" i="8"/>
  <c r="K192" i="8"/>
  <c r="D192" i="8"/>
  <c r="B192" i="8"/>
  <c r="AB191" i="8"/>
  <c r="AA191" i="8"/>
  <c r="AC191" i="8" s="1"/>
  <c r="L191" i="8" s="1"/>
  <c r="Z191" i="8"/>
  <c r="P191" i="8"/>
  <c r="K191" i="8"/>
  <c r="D191" i="8"/>
  <c r="B191" i="8"/>
  <c r="AB190" i="8"/>
  <c r="AA190" i="8"/>
  <c r="Z190" i="8"/>
  <c r="AC190" i="8" s="1"/>
  <c r="L190" i="8" s="1"/>
  <c r="P190" i="8"/>
  <c r="K190" i="8"/>
  <c r="D190" i="8"/>
  <c r="B190" i="8"/>
  <c r="AB189" i="8"/>
  <c r="AA189" i="8"/>
  <c r="AC189" i="8" s="1"/>
  <c r="L189" i="8" s="1"/>
  <c r="Z189" i="8"/>
  <c r="P189" i="8"/>
  <c r="K189" i="8"/>
  <c r="D189" i="8"/>
  <c r="B189" i="8"/>
  <c r="AB188" i="8"/>
  <c r="AA188" i="8"/>
  <c r="Z188" i="8"/>
  <c r="AC188" i="8" s="1"/>
  <c r="L188" i="8" s="1"/>
  <c r="P188" i="8"/>
  <c r="K188" i="8"/>
  <c r="D188" i="8"/>
  <c r="B188" i="8"/>
  <c r="AB187" i="8"/>
  <c r="AA187" i="8"/>
  <c r="AC187" i="8" s="1"/>
  <c r="L187" i="8" s="1"/>
  <c r="Z187" i="8"/>
  <c r="P187" i="8"/>
  <c r="K187" i="8"/>
  <c r="D187" i="8"/>
  <c r="B187" i="8"/>
  <c r="AB186" i="8"/>
  <c r="AA186" i="8"/>
  <c r="Z186" i="8"/>
  <c r="AC186" i="8" s="1"/>
  <c r="L186" i="8" s="1"/>
  <c r="P186" i="8"/>
  <c r="K186" i="8"/>
  <c r="D186" i="8"/>
  <c r="B186" i="8"/>
  <c r="AB185" i="8"/>
  <c r="AA185" i="8"/>
  <c r="AC185" i="8" s="1"/>
  <c r="L185" i="8" s="1"/>
  <c r="Z185" i="8"/>
  <c r="P185" i="8"/>
  <c r="K185" i="8"/>
  <c r="D185" i="8"/>
  <c r="B185" i="8"/>
  <c r="AB184" i="8"/>
  <c r="AA184" i="8"/>
  <c r="Z184" i="8"/>
  <c r="AC184" i="8" s="1"/>
  <c r="L184" i="8" s="1"/>
  <c r="P184" i="8"/>
  <c r="K184" i="8"/>
  <c r="D184" i="8"/>
  <c r="B184" i="8"/>
  <c r="AB183" i="8"/>
  <c r="AA183" i="8"/>
  <c r="AC183" i="8" s="1"/>
  <c r="L183" i="8" s="1"/>
  <c r="Z183" i="8"/>
  <c r="P183" i="8"/>
  <c r="K183" i="8"/>
  <c r="D183" i="8"/>
  <c r="B183" i="8"/>
  <c r="AB182" i="8"/>
  <c r="AA182" i="8"/>
  <c r="Z182" i="8"/>
  <c r="AC182" i="8" s="1"/>
  <c r="L182" i="8" s="1"/>
  <c r="P182" i="8"/>
  <c r="K182" i="8"/>
  <c r="D182" i="8"/>
  <c r="B182" i="8"/>
  <c r="AB181" i="8"/>
  <c r="AA181" i="8"/>
  <c r="AC181" i="8" s="1"/>
  <c r="L181" i="8" s="1"/>
  <c r="Z181" i="8"/>
  <c r="P181" i="8"/>
  <c r="K181" i="8"/>
  <c r="D181" i="8"/>
  <c r="B181" i="8"/>
  <c r="AB180" i="8"/>
  <c r="AA180" i="8"/>
  <c r="Z180" i="8"/>
  <c r="AC180" i="8" s="1"/>
  <c r="L180" i="8" s="1"/>
  <c r="P180" i="8"/>
  <c r="K180" i="8"/>
  <c r="D180" i="8"/>
  <c r="B180" i="8"/>
  <c r="AB179" i="8"/>
  <c r="AA179" i="8"/>
  <c r="AC179" i="8" s="1"/>
  <c r="L179" i="8" s="1"/>
  <c r="Z179" i="8"/>
  <c r="P179" i="8"/>
  <c r="K179" i="8"/>
  <c r="D179" i="8"/>
  <c r="B179" i="8"/>
  <c r="AB178" i="8"/>
  <c r="AA178" i="8"/>
  <c r="Z178" i="8"/>
  <c r="AC178" i="8" s="1"/>
  <c r="L178" i="8" s="1"/>
  <c r="P178" i="8"/>
  <c r="K178" i="8"/>
  <c r="D178" i="8"/>
  <c r="B178" i="8"/>
  <c r="AB177" i="8"/>
  <c r="AA177" i="8"/>
  <c r="AC177" i="8" s="1"/>
  <c r="L177" i="8" s="1"/>
  <c r="Z177" i="8"/>
  <c r="P177" i="8"/>
  <c r="K177" i="8"/>
  <c r="D177" i="8"/>
  <c r="B177" i="8"/>
  <c r="AB175" i="8"/>
  <c r="AA175" i="8"/>
  <c r="Z175" i="8"/>
  <c r="AC175" i="8" s="1"/>
  <c r="L175" i="8" s="1"/>
  <c r="P175" i="8"/>
  <c r="K175" i="8"/>
  <c r="D175" i="8"/>
  <c r="B175" i="8"/>
  <c r="AB174" i="8"/>
  <c r="AA174" i="8"/>
  <c r="AC174" i="8" s="1"/>
  <c r="L174" i="8" s="1"/>
  <c r="Z174" i="8"/>
  <c r="P174" i="8"/>
  <c r="K174" i="8"/>
  <c r="D174" i="8"/>
  <c r="B174" i="8"/>
  <c r="AB173" i="8"/>
  <c r="AA173" i="8"/>
  <c r="Z173" i="8"/>
  <c r="AC173" i="8" s="1"/>
  <c r="L173" i="8" s="1"/>
  <c r="P173" i="8"/>
  <c r="K173" i="8"/>
  <c r="D173" i="8"/>
  <c r="B173" i="8"/>
  <c r="AB172" i="8"/>
  <c r="AA172" i="8"/>
  <c r="AC172" i="8" s="1"/>
  <c r="L172" i="8" s="1"/>
  <c r="Z172" i="8"/>
  <c r="P172" i="8"/>
  <c r="K172" i="8"/>
  <c r="D172" i="8"/>
  <c r="B172" i="8"/>
  <c r="AB171" i="8"/>
  <c r="AA171" i="8"/>
  <c r="Z171" i="8"/>
  <c r="AC171" i="8" s="1"/>
  <c r="L171" i="8" s="1"/>
  <c r="P171" i="8"/>
  <c r="K171" i="8"/>
  <c r="D171" i="8"/>
  <c r="B171" i="8"/>
  <c r="AB170" i="8"/>
  <c r="AA170" i="8"/>
  <c r="AC170" i="8" s="1"/>
  <c r="L170" i="8" s="1"/>
  <c r="Z170" i="8"/>
  <c r="P170" i="8"/>
  <c r="K170" i="8"/>
  <c r="D170" i="8"/>
  <c r="B170" i="8"/>
  <c r="AB169" i="8"/>
  <c r="AA169" i="8"/>
  <c r="Z169" i="8"/>
  <c r="AC169" i="8" s="1"/>
  <c r="L169" i="8" s="1"/>
  <c r="P169" i="8"/>
  <c r="K169" i="8"/>
  <c r="D169" i="8"/>
  <c r="B169" i="8"/>
  <c r="AB168" i="8"/>
  <c r="AA168" i="8"/>
  <c r="AC168" i="8" s="1"/>
  <c r="L168" i="8" s="1"/>
  <c r="Z168" i="8"/>
  <c r="P168" i="8"/>
  <c r="K168" i="8"/>
  <c r="D168" i="8"/>
  <c r="B168" i="8"/>
  <c r="AB167" i="8"/>
  <c r="AA167" i="8"/>
  <c r="Z167" i="8"/>
  <c r="AC167" i="8" s="1"/>
  <c r="P167" i="8"/>
  <c r="L167" i="8"/>
  <c r="K167" i="8"/>
  <c r="D167" i="8"/>
  <c r="B167" i="8"/>
  <c r="AB166" i="8"/>
  <c r="AA166" i="8"/>
  <c r="AC166" i="8" s="1"/>
  <c r="L166" i="8" s="1"/>
  <c r="Z166" i="8"/>
  <c r="P166" i="8"/>
  <c r="K166" i="8"/>
  <c r="D166" i="8"/>
  <c r="B166" i="8"/>
  <c r="AB165" i="8"/>
  <c r="AA165" i="8"/>
  <c r="Z165" i="8"/>
  <c r="AC165" i="8" s="1"/>
  <c r="P165" i="8"/>
  <c r="L165" i="8"/>
  <c r="K165" i="8"/>
  <c r="D165" i="8"/>
  <c r="B165" i="8"/>
  <c r="AB164" i="8"/>
  <c r="AA164" i="8"/>
  <c r="AC164" i="8" s="1"/>
  <c r="L164" i="8" s="1"/>
  <c r="Z164" i="8"/>
  <c r="P164" i="8"/>
  <c r="K164" i="8"/>
  <c r="D164" i="8"/>
  <c r="B164" i="8"/>
  <c r="AB163" i="8"/>
  <c r="AA163" i="8"/>
  <c r="Z163" i="8"/>
  <c r="P163" i="8"/>
  <c r="K163" i="8"/>
  <c r="D163" i="8"/>
  <c r="B163" i="8"/>
  <c r="AB162" i="8"/>
  <c r="AA162" i="8"/>
  <c r="Z162" i="8"/>
  <c r="AC162" i="8" s="1"/>
  <c r="L162" i="8" s="1"/>
  <c r="P162" i="8"/>
  <c r="K162" i="8"/>
  <c r="D162" i="8"/>
  <c r="B162" i="8"/>
  <c r="AB161" i="8"/>
  <c r="AA161" i="8"/>
  <c r="AC161" i="8" s="1"/>
  <c r="L161" i="8" s="1"/>
  <c r="Z161" i="8"/>
  <c r="P161" i="8"/>
  <c r="K161" i="8"/>
  <c r="D161" i="8"/>
  <c r="B161" i="8"/>
  <c r="AB160" i="8"/>
  <c r="AA160" i="8"/>
  <c r="Z160" i="8"/>
  <c r="AC160" i="8" s="1"/>
  <c r="L160" i="8" s="1"/>
  <c r="P160" i="8"/>
  <c r="K160" i="8"/>
  <c r="D160" i="8"/>
  <c r="B160" i="8"/>
  <c r="AB159" i="8"/>
  <c r="AA159" i="8"/>
  <c r="AC159" i="8" s="1"/>
  <c r="L159" i="8" s="1"/>
  <c r="Z159" i="8"/>
  <c r="P159" i="8"/>
  <c r="K159" i="8"/>
  <c r="D159" i="8"/>
  <c r="B159" i="8"/>
  <c r="AB158" i="8"/>
  <c r="AA158" i="8"/>
  <c r="Z158" i="8"/>
  <c r="AC158" i="8" s="1"/>
  <c r="L158" i="8" s="1"/>
  <c r="P158" i="8"/>
  <c r="K158" i="8"/>
  <c r="D158" i="8"/>
  <c r="B158" i="8"/>
  <c r="AB157" i="8"/>
  <c r="AA157" i="8"/>
  <c r="AC157" i="8" s="1"/>
  <c r="L157" i="8" s="1"/>
  <c r="Z157" i="8"/>
  <c r="P157" i="8"/>
  <c r="K157" i="8"/>
  <c r="D157" i="8"/>
  <c r="B157" i="8"/>
  <c r="AB156" i="8"/>
  <c r="AA156" i="8"/>
  <c r="Z156" i="8"/>
  <c r="AC156" i="8" s="1"/>
  <c r="L156" i="8" s="1"/>
  <c r="P156" i="8"/>
  <c r="K156" i="8"/>
  <c r="D156" i="8"/>
  <c r="B156" i="8"/>
  <c r="AB155" i="8"/>
  <c r="AA155" i="8"/>
  <c r="AC155" i="8" s="1"/>
  <c r="L155" i="8" s="1"/>
  <c r="Z155" i="8"/>
  <c r="P155" i="8"/>
  <c r="K155" i="8"/>
  <c r="D155" i="8"/>
  <c r="B155" i="8"/>
  <c r="AB154" i="8"/>
  <c r="AA154" i="8"/>
  <c r="Z154" i="8"/>
  <c r="AC154" i="8" s="1"/>
  <c r="L154" i="8" s="1"/>
  <c r="P154" i="8"/>
  <c r="K154" i="8"/>
  <c r="D154" i="8"/>
  <c r="B154" i="8"/>
  <c r="AB153" i="8"/>
  <c r="AA153" i="8"/>
  <c r="AC153" i="8" s="1"/>
  <c r="L153" i="8" s="1"/>
  <c r="Z153" i="8"/>
  <c r="P153" i="8"/>
  <c r="K153" i="8"/>
  <c r="D153" i="8"/>
  <c r="B153" i="8"/>
  <c r="AB152" i="8"/>
  <c r="AA152" i="8"/>
  <c r="Z152" i="8"/>
  <c r="AC152" i="8" s="1"/>
  <c r="L152" i="8" s="1"/>
  <c r="P152" i="8"/>
  <c r="K152" i="8"/>
  <c r="D152" i="8"/>
  <c r="B152" i="8"/>
  <c r="AB151" i="8"/>
  <c r="AA151" i="8"/>
  <c r="AC151" i="8" s="1"/>
  <c r="L151" i="8" s="1"/>
  <c r="Z151" i="8"/>
  <c r="P151" i="8"/>
  <c r="K151" i="8"/>
  <c r="D151" i="8"/>
  <c r="B151" i="8"/>
  <c r="AB150" i="8"/>
  <c r="AA150" i="8"/>
  <c r="Z150" i="8"/>
  <c r="AC150" i="8" s="1"/>
  <c r="L150" i="8" s="1"/>
  <c r="P150" i="8"/>
  <c r="K150" i="8"/>
  <c r="D150" i="8"/>
  <c r="B150" i="8"/>
  <c r="AB149" i="8"/>
  <c r="AA149" i="8"/>
  <c r="AC149" i="8" s="1"/>
  <c r="L149" i="8" s="1"/>
  <c r="Z149" i="8"/>
  <c r="P149" i="8"/>
  <c r="K149" i="8"/>
  <c r="D149" i="8"/>
  <c r="B149" i="8"/>
  <c r="AB148" i="8"/>
  <c r="AA148" i="8"/>
  <c r="Z148" i="8"/>
  <c r="AC148" i="8" s="1"/>
  <c r="L148" i="8" s="1"/>
  <c r="P148" i="8"/>
  <c r="K148" i="8"/>
  <c r="D148" i="8"/>
  <c r="B148" i="8"/>
  <c r="AB147" i="8"/>
  <c r="AA147" i="8"/>
  <c r="AC147" i="8" s="1"/>
  <c r="L147" i="8" s="1"/>
  <c r="Z147" i="8"/>
  <c r="P147" i="8"/>
  <c r="K147" i="8"/>
  <c r="D147" i="8"/>
  <c r="B147" i="8"/>
  <c r="AB146" i="8"/>
  <c r="AA146" i="8"/>
  <c r="Z146" i="8"/>
  <c r="AC146" i="8" s="1"/>
  <c r="L146" i="8" s="1"/>
  <c r="P146" i="8"/>
  <c r="K146" i="8"/>
  <c r="D146" i="8"/>
  <c r="B146" i="8"/>
  <c r="AB145" i="8"/>
  <c r="AA145" i="8"/>
  <c r="AC145" i="8" s="1"/>
  <c r="L145" i="8" s="1"/>
  <c r="Z145" i="8"/>
  <c r="P145" i="8"/>
  <c r="K145" i="8"/>
  <c r="D145" i="8"/>
  <c r="B145" i="8"/>
  <c r="AB144" i="8"/>
  <c r="AA144" i="8"/>
  <c r="Z144" i="8"/>
  <c r="AC144" i="8" s="1"/>
  <c r="L144" i="8" s="1"/>
  <c r="P144" i="8"/>
  <c r="K144" i="8"/>
  <c r="D144" i="8"/>
  <c r="B144" i="8"/>
  <c r="AB143" i="8"/>
  <c r="AA143" i="8"/>
  <c r="AC143" i="8" s="1"/>
  <c r="L143" i="8" s="1"/>
  <c r="Z143" i="8"/>
  <c r="P143" i="8"/>
  <c r="K143" i="8"/>
  <c r="D143" i="8"/>
  <c r="B143" i="8"/>
  <c r="AB142" i="8"/>
  <c r="AA142" i="8"/>
  <c r="Z142" i="8"/>
  <c r="AC142" i="8" s="1"/>
  <c r="L142" i="8" s="1"/>
  <c r="P142" i="8"/>
  <c r="K142" i="8"/>
  <c r="D142" i="8"/>
  <c r="B142" i="8"/>
  <c r="AB141" i="8"/>
  <c r="AA141" i="8"/>
  <c r="AC141" i="8" s="1"/>
  <c r="L141" i="8" s="1"/>
  <c r="Z141" i="8"/>
  <c r="P141" i="8"/>
  <c r="K141" i="8"/>
  <c r="D141" i="8"/>
  <c r="B141" i="8"/>
  <c r="AB140" i="8"/>
  <c r="AA140" i="8"/>
  <c r="Z140" i="8"/>
  <c r="AC140" i="8" s="1"/>
  <c r="L140" i="8" s="1"/>
  <c r="P140" i="8"/>
  <c r="K140" i="8"/>
  <c r="D140" i="8"/>
  <c r="B140" i="8"/>
  <c r="AB139" i="8"/>
  <c r="AA139" i="8"/>
  <c r="AC139" i="8" s="1"/>
  <c r="L139" i="8" s="1"/>
  <c r="Z139" i="8"/>
  <c r="P139" i="8"/>
  <c r="K139" i="8"/>
  <c r="D139" i="8"/>
  <c r="B139" i="8"/>
  <c r="AB138" i="8"/>
  <c r="AA138" i="8"/>
  <c r="Z138" i="8"/>
  <c r="AC138" i="8" s="1"/>
  <c r="L138" i="8" s="1"/>
  <c r="P138" i="8"/>
  <c r="K138" i="8"/>
  <c r="D138" i="8"/>
  <c r="B138" i="8"/>
  <c r="AB137" i="8"/>
  <c r="AA137" i="8"/>
  <c r="AC137" i="8" s="1"/>
  <c r="L137" i="8" s="1"/>
  <c r="Z137" i="8"/>
  <c r="P137" i="8"/>
  <c r="K137" i="8"/>
  <c r="D137" i="8"/>
  <c r="B137" i="8"/>
  <c r="AB136" i="8"/>
  <c r="AA136" i="8"/>
  <c r="Z136" i="8"/>
  <c r="P136" i="8"/>
  <c r="L136" i="8"/>
  <c r="K136" i="8"/>
  <c r="D136" i="8"/>
  <c r="B136" i="8"/>
  <c r="AB135" i="8"/>
  <c r="AA135" i="8"/>
  <c r="Z135" i="8"/>
  <c r="AC135" i="8" s="1"/>
  <c r="L135" i="8" s="1"/>
  <c r="P135" i="8"/>
  <c r="K135" i="8"/>
  <c r="D135" i="8"/>
  <c r="B135" i="8"/>
  <c r="AB134" i="8"/>
  <c r="AA134" i="8"/>
  <c r="AC134" i="8" s="1"/>
  <c r="L134" i="8" s="1"/>
  <c r="Z134" i="8"/>
  <c r="P134" i="8"/>
  <c r="K134" i="8"/>
  <c r="D134" i="8"/>
  <c r="B134" i="8"/>
  <c r="AB133" i="8"/>
  <c r="AA133" i="8"/>
  <c r="Z133" i="8"/>
  <c r="AC133" i="8" s="1"/>
  <c r="L133" i="8" s="1"/>
  <c r="P133" i="8"/>
  <c r="K133" i="8"/>
  <c r="D133" i="8"/>
  <c r="B133" i="8"/>
  <c r="AB132" i="8"/>
  <c r="AA132" i="8"/>
  <c r="AC132" i="8" s="1"/>
  <c r="L132" i="8" s="1"/>
  <c r="Z132" i="8"/>
  <c r="P132" i="8"/>
  <c r="K132" i="8"/>
  <c r="D132" i="8"/>
  <c r="B132" i="8"/>
  <c r="AB131" i="8"/>
  <c r="AA131" i="8"/>
  <c r="Z131" i="8"/>
  <c r="AC131" i="8" s="1"/>
  <c r="L131" i="8" s="1"/>
  <c r="P131" i="8"/>
  <c r="K131" i="8"/>
  <c r="D131" i="8"/>
  <c r="B131" i="8"/>
  <c r="AB130" i="8"/>
  <c r="AA130" i="8"/>
  <c r="AC130" i="8" s="1"/>
  <c r="L130" i="8" s="1"/>
  <c r="Z130" i="8"/>
  <c r="P130" i="8"/>
  <c r="K130" i="8"/>
  <c r="D130" i="8"/>
  <c r="B130" i="8"/>
  <c r="AB129" i="8"/>
  <c r="AA129" i="8"/>
  <c r="Z129" i="8"/>
  <c r="AC129" i="8" s="1"/>
  <c r="L129" i="8" s="1"/>
  <c r="P129" i="8"/>
  <c r="K129" i="8"/>
  <c r="D129" i="8"/>
  <c r="B129" i="8"/>
  <c r="AB128" i="8"/>
  <c r="AA128" i="8"/>
  <c r="AC128" i="8" s="1"/>
  <c r="L128" i="8" s="1"/>
  <c r="Z128" i="8"/>
  <c r="P128" i="8"/>
  <c r="K128" i="8"/>
  <c r="D128" i="8"/>
  <c r="B128" i="8"/>
  <c r="AB127" i="8"/>
  <c r="AA127" i="8"/>
  <c r="Z127" i="8"/>
  <c r="AC127" i="8" s="1"/>
  <c r="L127" i="8" s="1"/>
  <c r="P127" i="8"/>
  <c r="K127" i="8"/>
  <c r="D127" i="8"/>
  <c r="B127" i="8"/>
  <c r="AB126" i="8"/>
  <c r="AA126" i="8"/>
  <c r="AC126" i="8" s="1"/>
  <c r="L126" i="8" s="1"/>
  <c r="Z126" i="8"/>
  <c r="P126" i="8"/>
  <c r="K126" i="8"/>
  <c r="D126" i="8"/>
  <c r="B126" i="8"/>
  <c r="AB125" i="8"/>
  <c r="AA125" i="8"/>
  <c r="Z125" i="8"/>
  <c r="AC125" i="8" s="1"/>
  <c r="L125" i="8" s="1"/>
  <c r="P125" i="8"/>
  <c r="K125" i="8"/>
  <c r="D125" i="8"/>
  <c r="B125" i="8"/>
  <c r="AB124" i="8"/>
  <c r="AA124" i="8"/>
  <c r="AC124" i="8" s="1"/>
  <c r="L124" i="8" s="1"/>
  <c r="Z124" i="8"/>
  <c r="P124" i="8"/>
  <c r="K124" i="8"/>
  <c r="D124" i="8"/>
  <c r="B124" i="8"/>
  <c r="AB123" i="8"/>
  <c r="AA123" i="8"/>
  <c r="Z123" i="8"/>
  <c r="AC123" i="8" s="1"/>
  <c r="L123" i="8" s="1"/>
  <c r="P123" i="8"/>
  <c r="K123" i="8"/>
  <c r="D123" i="8"/>
  <c r="B123" i="8"/>
  <c r="AB121" i="8"/>
  <c r="AA121" i="8"/>
  <c r="AC121" i="8" s="1"/>
  <c r="L121" i="8" s="1"/>
  <c r="Z121" i="8"/>
  <c r="P121" i="8"/>
  <c r="K121" i="8"/>
  <c r="D121" i="8"/>
  <c r="B121" i="8"/>
  <c r="AB120" i="8"/>
  <c r="AA120" i="8"/>
  <c r="Z120" i="8"/>
  <c r="AC120" i="8" s="1"/>
  <c r="L120" i="8" s="1"/>
  <c r="P120" i="8"/>
  <c r="K120" i="8"/>
  <c r="D120" i="8"/>
  <c r="B120" i="8"/>
  <c r="AB119" i="8"/>
  <c r="AA119" i="8"/>
  <c r="AC119" i="8" s="1"/>
  <c r="L119" i="8" s="1"/>
  <c r="Z119" i="8"/>
  <c r="P119" i="8"/>
  <c r="K119" i="8"/>
  <c r="D119" i="8"/>
  <c r="B119" i="8"/>
  <c r="AB118" i="8"/>
  <c r="AA118" i="8"/>
  <c r="Z118" i="8"/>
  <c r="AC118" i="8" s="1"/>
  <c r="L118" i="8" s="1"/>
  <c r="P118" i="8"/>
  <c r="K118" i="8"/>
  <c r="D118" i="8"/>
  <c r="B118" i="8"/>
  <c r="AB117" i="8"/>
  <c r="AA117" i="8"/>
  <c r="AC117" i="8" s="1"/>
  <c r="L117" i="8" s="1"/>
  <c r="Z117" i="8"/>
  <c r="P117" i="8"/>
  <c r="K117" i="8"/>
  <c r="D117" i="8"/>
  <c r="B117" i="8"/>
  <c r="AB116" i="8"/>
  <c r="AA116" i="8"/>
  <c r="Z116" i="8"/>
  <c r="AC116" i="8" s="1"/>
  <c r="L116" i="8" s="1"/>
  <c r="P116" i="8"/>
  <c r="K116" i="8"/>
  <c r="D116" i="8"/>
  <c r="B116" i="8"/>
  <c r="AB115" i="8"/>
  <c r="AA115" i="8"/>
  <c r="AC115" i="8" s="1"/>
  <c r="L115" i="8" s="1"/>
  <c r="Z115" i="8"/>
  <c r="P115" i="8"/>
  <c r="K115" i="8"/>
  <c r="D115" i="8"/>
  <c r="B115" i="8"/>
  <c r="AB114" i="8"/>
  <c r="AA114" i="8"/>
  <c r="Z114" i="8"/>
  <c r="AC114" i="8" s="1"/>
  <c r="L114" i="8" s="1"/>
  <c r="P114" i="8"/>
  <c r="K114" i="8"/>
  <c r="D114" i="8"/>
  <c r="B114" i="8"/>
  <c r="AB113" i="8"/>
  <c r="AA113" i="8"/>
  <c r="AC113" i="8" s="1"/>
  <c r="L113" i="8" s="1"/>
  <c r="Z113" i="8"/>
  <c r="P113" i="8"/>
  <c r="K113" i="8"/>
  <c r="D113" i="8"/>
  <c r="B113" i="8"/>
  <c r="AB112" i="8"/>
  <c r="AA112" i="8"/>
  <c r="Z112" i="8"/>
  <c r="AC112" i="8" s="1"/>
  <c r="L112" i="8" s="1"/>
  <c r="P112" i="8"/>
  <c r="K112" i="8"/>
  <c r="D112" i="8"/>
  <c r="B112" i="8"/>
  <c r="AB111" i="8"/>
  <c r="AA111" i="8"/>
  <c r="AC111" i="8" s="1"/>
  <c r="L111" i="8" s="1"/>
  <c r="Z111" i="8"/>
  <c r="P111" i="8"/>
  <c r="K111" i="8"/>
  <c r="D111" i="8"/>
  <c r="B111" i="8"/>
  <c r="AB110" i="8"/>
  <c r="AA110" i="8"/>
  <c r="Z110" i="8"/>
  <c r="AC110" i="8" s="1"/>
  <c r="L110" i="8" s="1"/>
  <c r="P110" i="8"/>
  <c r="K110" i="8"/>
  <c r="D110" i="8"/>
  <c r="B110" i="8"/>
  <c r="AB109" i="8"/>
  <c r="AA109" i="8"/>
  <c r="AC109" i="8" s="1"/>
  <c r="L109" i="8" s="1"/>
  <c r="Z109" i="8"/>
  <c r="P109" i="8"/>
  <c r="K109" i="8"/>
  <c r="D109" i="8"/>
  <c r="B109" i="8"/>
  <c r="AB108" i="8"/>
  <c r="AA108" i="8"/>
  <c r="Z108" i="8"/>
  <c r="AC108" i="8" s="1"/>
  <c r="L108" i="8" s="1"/>
  <c r="P108" i="8"/>
  <c r="K108" i="8"/>
  <c r="D108" i="8"/>
  <c r="B108" i="8"/>
  <c r="AB107" i="8"/>
  <c r="AA107" i="8"/>
  <c r="AC107" i="8" s="1"/>
  <c r="L107" i="8" s="1"/>
  <c r="Z107" i="8"/>
  <c r="P107" i="8"/>
  <c r="K107" i="8"/>
  <c r="D107" i="8"/>
  <c r="B107" i="8"/>
  <c r="AB106" i="8"/>
  <c r="AA106" i="8"/>
  <c r="Z106" i="8"/>
  <c r="AC106" i="8" s="1"/>
  <c r="L106" i="8" s="1"/>
  <c r="P106" i="8"/>
  <c r="K106" i="8"/>
  <c r="D106" i="8"/>
  <c r="B106" i="8"/>
  <c r="AB105" i="8"/>
  <c r="AA105" i="8"/>
  <c r="AC105" i="8" s="1"/>
  <c r="L105" i="8" s="1"/>
  <c r="Z105" i="8"/>
  <c r="P105" i="8"/>
  <c r="K105" i="8"/>
  <c r="D105" i="8"/>
  <c r="B105" i="8"/>
  <c r="AB104" i="8"/>
  <c r="AA104" i="8"/>
  <c r="Z104" i="8"/>
  <c r="AC104" i="8" s="1"/>
  <c r="L104" i="8" s="1"/>
  <c r="P104" i="8"/>
  <c r="K104" i="8"/>
  <c r="D104" i="8"/>
  <c r="B104" i="8"/>
  <c r="AB103" i="8"/>
  <c r="AA103" i="8"/>
  <c r="AC103" i="8" s="1"/>
  <c r="L103" i="8" s="1"/>
  <c r="Z103" i="8"/>
  <c r="P103" i="8"/>
  <c r="K103" i="8"/>
  <c r="D103" i="8"/>
  <c r="B103" i="8"/>
  <c r="AB102" i="8"/>
  <c r="AA102" i="8"/>
  <c r="Z102" i="8"/>
  <c r="AC102" i="8" s="1"/>
  <c r="L102" i="8" s="1"/>
  <c r="P102" i="8"/>
  <c r="K102" i="8"/>
  <c r="D102" i="8"/>
  <c r="B102" i="8"/>
  <c r="AB101" i="8"/>
  <c r="AA101" i="8"/>
  <c r="AC101" i="8" s="1"/>
  <c r="L101" i="8" s="1"/>
  <c r="Z101" i="8"/>
  <c r="P101" i="8"/>
  <c r="K101" i="8"/>
  <c r="D101" i="8"/>
  <c r="B101" i="8"/>
  <c r="AB100" i="8"/>
  <c r="AA100" i="8"/>
  <c r="Z100" i="8"/>
  <c r="AC100" i="8" s="1"/>
  <c r="L100" i="8" s="1"/>
  <c r="P100" i="8"/>
  <c r="K100" i="8"/>
  <c r="D100" i="8"/>
  <c r="B100" i="8"/>
  <c r="AB99" i="8"/>
  <c r="AA99" i="8"/>
  <c r="AC99" i="8" s="1"/>
  <c r="L99" i="8" s="1"/>
  <c r="Z99" i="8"/>
  <c r="P99" i="8"/>
  <c r="K99" i="8"/>
  <c r="D99" i="8"/>
  <c r="B99" i="8"/>
  <c r="AB98" i="8"/>
  <c r="AA98" i="8"/>
  <c r="Z98" i="8"/>
  <c r="AC98" i="8" s="1"/>
  <c r="L98" i="8" s="1"/>
  <c r="P98" i="8"/>
  <c r="K98" i="8"/>
  <c r="D98" i="8"/>
  <c r="B98" i="8"/>
  <c r="AB97" i="8"/>
  <c r="AA97" i="8"/>
  <c r="AC97" i="8" s="1"/>
  <c r="L97" i="8" s="1"/>
  <c r="Z97" i="8"/>
  <c r="P97" i="8"/>
  <c r="K97" i="8"/>
  <c r="D97" i="8"/>
  <c r="B97" i="8"/>
  <c r="AB96" i="8"/>
  <c r="AA96" i="8"/>
  <c r="Z96" i="8"/>
  <c r="AC96" i="8" s="1"/>
  <c r="L96" i="8" s="1"/>
  <c r="P96" i="8"/>
  <c r="K96" i="8"/>
  <c r="D96" i="8"/>
  <c r="B96" i="8"/>
  <c r="AB95" i="8"/>
  <c r="AA95" i="8"/>
  <c r="AC95" i="8" s="1"/>
  <c r="L95" i="8" s="1"/>
  <c r="Z95" i="8"/>
  <c r="P95" i="8"/>
  <c r="K95" i="8"/>
  <c r="D95" i="8"/>
  <c r="B95" i="8"/>
  <c r="AB94" i="8"/>
  <c r="AA94" i="8"/>
  <c r="Z94" i="8"/>
  <c r="AC94" i="8" s="1"/>
  <c r="L94" i="8" s="1"/>
  <c r="P94" i="8"/>
  <c r="K94" i="8"/>
  <c r="D94" i="8"/>
  <c r="B94" i="8"/>
  <c r="AB93" i="8"/>
  <c r="AA93" i="8"/>
  <c r="AC93" i="8" s="1"/>
  <c r="L93" i="8" s="1"/>
  <c r="Z93" i="8"/>
  <c r="P93" i="8"/>
  <c r="K93" i="8"/>
  <c r="D93" i="8"/>
  <c r="B93" i="8"/>
  <c r="AB92" i="8"/>
  <c r="AA92" i="8"/>
  <c r="Z92" i="8"/>
  <c r="AC92" i="8" s="1"/>
  <c r="L92" i="8" s="1"/>
  <c r="P92" i="8"/>
  <c r="K92" i="8"/>
  <c r="D92" i="8"/>
  <c r="B92" i="8"/>
  <c r="AB91" i="8"/>
  <c r="AA91" i="8"/>
  <c r="AC91" i="8" s="1"/>
  <c r="L91" i="8" s="1"/>
  <c r="Z91" i="8"/>
  <c r="P91" i="8"/>
  <c r="K91" i="8"/>
  <c r="D91" i="8"/>
  <c r="B91" i="8"/>
  <c r="AB90" i="8"/>
  <c r="AA90" i="8"/>
  <c r="Z90" i="8"/>
  <c r="AC90" i="8" s="1"/>
  <c r="L90" i="8" s="1"/>
  <c r="P90" i="8"/>
  <c r="K90" i="8"/>
  <c r="D90" i="8"/>
  <c r="B90" i="8"/>
  <c r="AB89" i="8"/>
  <c r="AA89" i="8"/>
  <c r="AC89" i="8" s="1"/>
  <c r="L89" i="8" s="1"/>
  <c r="Z89" i="8"/>
  <c r="P89" i="8"/>
  <c r="K89" i="8"/>
  <c r="D89" i="8"/>
  <c r="B89" i="8"/>
  <c r="AB88" i="8"/>
  <c r="AA88" i="8"/>
  <c r="Z88" i="8"/>
  <c r="AC88" i="8" s="1"/>
  <c r="L88" i="8" s="1"/>
  <c r="P88" i="8"/>
  <c r="K88" i="8"/>
  <c r="D88" i="8"/>
  <c r="B88" i="8"/>
  <c r="AB87" i="8"/>
  <c r="AA87" i="8"/>
  <c r="AC87" i="8" s="1"/>
  <c r="L87" i="8" s="1"/>
  <c r="Z87" i="8"/>
  <c r="P87" i="8"/>
  <c r="K87" i="8"/>
  <c r="D87" i="8"/>
  <c r="B87" i="8"/>
  <c r="AB86" i="8"/>
  <c r="AA86" i="8"/>
  <c r="Z86" i="8"/>
  <c r="AC86" i="8" s="1"/>
  <c r="L86" i="8" s="1"/>
  <c r="P86" i="8"/>
  <c r="K86" i="8"/>
  <c r="D86" i="8"/>
  <c r="B86" i="8"/>
  <c r="AB85" i="8"/>
  <c r="AA85" i="8"/>
  <c r="AC85" i="8" s="1"/>
  <c r="L85" i="8" s="1"/>
  <c r="Z85" i="8"/>
  <c r="P85" i="8"/>
  <c r="K85" i="8"/>
  <c r="D85" i="8"/>
  <c r="B85" i="8"/>
  <c r="AB84" i="8"/>
  <c r="AA84" i="8"/>
  <c r="Z84" i="8"/>
  <c r="AC84" i="8" s="1"/>
  <c r="L84" i="8" s="1"/>
  <c r="P84" i="8"/>
  <c r="K84" i="8"/>
  <c r="D84" i="8"/>
  <c r="B84" i="8"/>
  <c r="AB83" i="8"/>
  <c r="AA83" i="8"/>
  <c r="AC83" i="8" s="1"/>
  <c r="L83" i="8" s="1"/>
  <c r="Z83" i="8"/>
  <c r="P83" i="8"/>
  <c r="K83" i="8"/>
  <c r="D83" i="8"/>
  <c r="B83" i="8"/>
  <c r="AB82" i="8"/>
  <c r="AA82" i="8"/>
  <c r="Z82" i="8"/>
  <c r="AC82" i="8" s="1"/>
  <c r="L82" i="8" s="1"/>
  <c r="P82" i="8"/>
  <c r="K82" i="8"/>
  <c r="D82" i="8"/>
  <c r="B82" i="8"/>
  <c r="AB81" i="8"/>
  <c r="AA81" i="8"/>
  <c r="AC81" i="8" s="1"/>
  <c r="L81" i="8" s="1"/>
  <c r="Z81" i="8"/>
  <c r="P81" i="8"/>
  <c r="K81" i="8"/>
  <c r="D81" i="8"/>
  <c r="B81" i="8"/>
  <c r="AB80" i="8"/>
  <c r="AA80" i="8"/>
  <c r="Z80" i="8"/>
  <c r="AC80" i="8" s="1"/>
  <c r="L80" i="8" s="1"/>
  <c r="P80" i="8"/>
  <c r="K80" i="8"/>
  <c r="D80" i="8"/>
  <c r="B80" i="8"/>
  <c r="AB79" i="8"/>
  <c r="AA79" i="8"/>
  <c r="AC79" i="8" s="1"/>
  <c r="L79" i="8" s="1"/>
  <c r="Z79" i="8"/>
  <c r="P79" i="8"/>
  <c r="K79" i="8"/>
  <c r="D79" i="8"/>
  <c r="B79" i="8"/>
  <c r="AB78" i="8"/>
  <c r="AA78" i="8"/>
  <c r="Z78" i="8"/>
  <c r="AC78" i="8" s="1"/>
  <c r="L78" i="8" s="1"/>
  <c r="P78" i="8"/>
  <c r="K78" i="8"/>
  <c r="D78" i="8"/>
  <c r="B78" i="8"/>
  <c r="AB77" i="8"/>
  <c r="AA77" i="8"/>
  <c r="AC77" i="8" s="1"/>
  <c r="L77" i="8" s="1"/>
  <c r="Z77" i="8"/>
  <c r="P77" i="8"/>
  <c r="K77" i="8"/>
  <c r="D77" i="8"/>
  <c r="B77" i="8"/>
  <c r="AB76" i="8"/>
  <c r="AA76" i="8"/>
  <c r="Z76" i="8"/>
  <c r="AC76" i="8" s="1"/>
  <c r="L76" i="8" s="1"/>
  <c r="P76" i="8"/>
  <c r="K76" i="8"/>
  <c r="D76" i="8"/>
  <c r="B76" i="8"/>
  <c r="AB75" i="8"/>
  <c r="AA75" i="8"/>
  <c r="AC75" i="8" s="1"/>
  <c r="L75" i="8" s="1"/>
  <c r="Z75" i="8"/>
  <c r="P75" i="8"/>
  <c r="K75" i="8"/>
  <c r="D75" i="8"/>
  <c r="B75" i="8"/>
  <c r="AB74" i="8"/>
  <c r="AA74" i="8"/>
  <c r="Z74" i="8"/>
  <c r="AC74" i="8" s="1"/>
  <c r="L74" i="8" s="1"/>
  <c r="P74" i="8"/>
  <c r="K74" i="8"/>
  <c r="D74" i="8"/>
  <c r="B74" i="8"/>
  <c r="AB73" i="8"/>
  <c r="AA73" i="8"/>
  <c r="AC73" i="8" s="1"/>
  <c r="L73" i="8" s="1"/>
  <c r="Z73" i="8"/>
  <c r="P73" i="8"/>
  <c r="K73" i="8"/>
  <c r="D73" i="8"/>
  <c r="B73" i="8"/>
  <c r="AB72" i="8"/>
  <c r="AA72" i="8"/>
  <c r="Z72" i="8"/>
  <c r="AC72" i="8" s="1"/>
  <c r="L72" i="8" s="1"/>
  <c r="P72" i="8"/>
  <c r="K72" i="8"/>
  <c r="D72" i="8"/>
  <c r="B72" i="8"/>
  <c r="AB71" i="8"/>
  <c r="AA71" i="8"/>
  <c r="AC71" i="8" s="1"/>
  <c r="L71" i="8" s="1"/>
  <c r="Z71" i="8"/>
  <c r="P71" i="8"/>
  <c r="K71" i="8"/>
  <c r="D71" i="8"/>
  <c r="B71" i="8"/>
  <c r="AB70" i="8"/>
  <c r="AA70" i="8"/>
  <c r="Z70" i="8"/>
  <c r="AC70" i="8" s="1"/>
  <c r="L70" i="8" s="1"/>
  <c r="P70" i="8"/>
  <c r="K70" i="8"/>
  <c r="D70" i="8"/>
  <c r="B70" i="8"/>
  <c r="AB69" i="8"/>
  <c r="AA69" i="8"/>
  <c r="AC69" i="8" s="1"/>
  <c r="L69" i="8" s="1"/>
  <c r="Z69" i="8"/>
  <c r="P69" i="8"/>
  <c r="K69" i="8"/>
  <c r="D69" i="8"/>
  <c r="B69" i="8"/>
  <c r="AB68" i="8"/>
  <c r="AA68" i="8"/>
  <c r="Z68" i="8"/>
  <c r="AC68" i="8" s="1"/>
  <c r="L68" i="8" s="1"/>
  <c r="P68" i="8"/>
  <c r="K68" i="8"/>
  <c r="D68" i="8"/>
  <c r="B68" i="8"/>
  <c r="AB67" i="8"/>
  <c r="AA67" i="8"/>
  <c r="AC67" i="8" s="1"/>
  <c r="L67" i="8" s="1"/>
  <c r="Z67" i="8"/>
  <c r="P67" i="8"/>
  <c r="K67" i="8"/>
  <c r="D67" i="8"/>
  <c r="B67" i="8"/>
  <c r="AB66" i="8"/>
  <c r="AA66" i="8"/>
  <c r="Z66" i="8"/>
  <c r="AC66" i="8" s="1"/>
  <c r="L66" i="8" s="1"/>
  <c r="P66" i="8"/>
  <c r="K66" i="8"/>
  <c r="D66" i="8"/>
  <c r="B66" i="8"/>
  <c r="AB65" i="8"/>
  <c r="AA65" i="8"/>
  <c r="AC65" i="8" s="1"/>
  <c r="L65" i="8" s="1"/>
  <c r="Z65" i="8"/>
  <c r="P65" i="8"/>
  <c r="K65" i="8"/>
  <c r="D65" i="8"/>
  <c r="B65" i="8"/>
  <c r="AB64" i="8"/>
  <c r="AA64" i="8"/>
  <c r="Z64" i="8"/>
  <c r="AC64" i="8" s="1"/>
  <c r="L64" i="8" s="1"/>
  <c r="P64" i="8"/>
  <c r="K64" i="8"/>
  <c r="D64" i="8"/>
  <c r="B64" i="8"/>
  <c r="AB63" i="8"/>
  <c r="AA63" i="8"/>
  <c r="AC63" i="8" s="1"/>
  <c r="L63" i="8" s="1"/>
  <c r="Z63" i="8"/>
  <c r="P63" i="8"/>
  <c r="K63" i="8"/>
  <c r="D63" i="8"/>
  <c r="B63" i="8"/>
  <c r="AB62" i="8"/>
  <c r="AA62" i="8"/>
  <c r="Z62" i="8"/>
  <c r="AC62" i="8" s="1"/>
  <c r="L62" i="8" s="1"/>
  <c r="P62" i="8"/>
  <c r="K62" i="8"/>
  <c r="D62" i="8"/>
  <c r="B62" i="8"/>
  <c r="AB61" i="8"/>
  <c r="AA61" i="8"/>
  <c r="AC61" i="8" s="1"/>
  <c r="L61" i="8" s="1"/>
  <c r="Z61" i="8"/>
  <c r="P61" i="8"/>
  <c r="K61" i="8"/>
  <c r="D61" i="8"/>
  <c r="B61" i="8"/>
  <c r="AB60" i="8"/>
  <c r="AA60" i="8"/>
  <c r="Z60" i="8"/>
  <c r="AC60" i="8" s="1"/>
  <c r="L60" i="8" s="1"/>
  <c r="P60" i="8"/>
  <c r="K60" i="8"/>
  <c r="D60" i="8"/>
  <c r="B60" i="8"/>
  <c r="AB59" i="8"/>
  <c r="AA59" i="8"/>
  <c r="AC59" i="8" s="1"/>
  <c r="L59" i="8" s="1"/>
  <c r="Z59" i="8"/>
  <c r="P59" i="8"/>
  <c r="K59" i="8"/>
  <c r="D59" i="8"/>
  <c r="B59" i="8"/>
  <c r="AB58" i="8"/>
  <c r="AA58" i="8"/>
  <c r="Z58" i="8"/>
  <c r="AC58" i="8" s="1"/>
  <c r="L58" i="8" s="1"/>
  <c r="P58" i="8"/>
  <c r="K58" i="8"/>
  <c r="D58" i="8"/>
  <c r="B58" i="8"/>
  <c r="AB57" i="8"/>
  <c r="AA57" i="8"/>
  <c r="AC57" i="8" s="1"/>
  <c r="L57" i="8" s="1"/>
  <c r="Z57" i="8"/>
  <c r="P57" i="8"/>
  <c r="K57" i="8"/>
  <c r="D57" i="8"/>
  <c r="B57" i="8"/>
  <c r="AB56" i="8"/>
  <c r="AA56" i="8"/>
  <c r="Z56" i="8"/>
  <c r="AC56" i="8" s="1"/>
  <c r="L56" i="8" s="1"/>
  <c r="P56" i="8"/>
  <c r="K56" i="8"/>
  <c r="D56" i="8"/>
  <c r="B56" i="8"/>
  <c r="AB55" i="8"/>
  <c r="AA55" i="8"/>
  <c r="AC55" i="8" s="1"/>
  <c r="L55" i="8" s="1"/>
  <c r="Z55" i="8"/>
  <c r="P55" i="8"/>
  <c r="K55" i="8"/>
  <c r="D55" i="8"/>
  <c r="B55" i="8"/>
  <c r="AB54" i="8"/>
  <c r="AA54" i="8"/>
  <c r="Z54" i="8"/>
  <c r="AC54" i="8" s="1"/>
  <c r="L54" i="8" s="1"/>
  <c r="P54" i="8"/>
  <c r="K54" i="8"/>
  <c r="D54" i="8"/>
  <c r="B54" i="8"/>
  <c r="AB53" i="8"/>
  <c r="AA53" i="8"/>
  <c r="AC53" i="8" s="1"/>
  <c r="L53" i="8" s="1"/>
  <c r="Z53" i="8"/>
  <c r="P53" i="8"/>
  <c r="K53" i="8"/>
  <c r="D53" i="8"/>
  <c r="B53" i="8"/>
  <c r="AB52" i="8"/>
  <c r="AA52" i="8"/>
  <c r="Z52" i="8"/>
  <c r="AC52" i="8" s="1"/>
  <c r="L52" i="8" s="1"/>
  <c r="P52" i="8"/>
  <c r="K52" i="8"/>
  <c r="D52" i="8"/>
  <c r="B52" i="8"/>
  <c r="AB51" i="8"/>
  <c r="AA51" i="8"/>
  <c r="AC51" i="8" s="1"/>
  <c r="L51" i="8" s="1"/>
  <c r="Z51" i="8"/>
  <c r="P51" i="8"/>
  <c r="K51" i="8"/>
  <c r="D51" i="8"/>
  <c r="B51" i="8"/>
  <c r="AB50" i="8"/>
  <c r="AA50" i="8"/>
  <c r="Z50" i="8"/>
  <c r="AC50" i="8" s="1"/>
  <c r="L50" i="8" s="1"/>
  <c r="P50" i="8"/>
  <c r="K50" i="8"/>
  <c r="D50" i="8"/>
  <c r="B50" i="8"/>
  <c r="AB49" i="8"/>
  <c r="AA49" i="8"/>
  <c r="AC49" i="8" s="1"/>
  <c r="L49" i="8" s="1"/>
  <c r="Z49" i="8"/>
  <c r="P49" i="8"/>
  <c r="K49" i="8"/>
  <c r="D49" i="8"/>
  <c r="B49" i="8"/>
  <c r="AB48" i="8"/>
  <c r="AA48" i="8"/>
  <c r="Z48" i="8"/>
  <c r="AC48" i="8" s="1"/>
  <c r="L48" i="8" s="1"/>
  <c r="P48" i="8"/>
  <c r="K48" i="8"/>
  <c r="D48" i="8"/>
  <c r="B48" i="8"/>
  <c r="AB47" i="8"/>
  <c r="AA47" i="8"/>
  <c r="AC47" i="8" s="1"/>
  <c r="L47" i="8" s="1"/>
  <c r="Z47" i="8"/>
  <c r="P47" i="8"/>
  <c r="K47" i="8"/>
  <c r="D47" i="8"/>
  <c r="B47" i="8"/>
  <c r="AB46" i="8"/>
  <c r="AA46" i="8"/>
  <c r="Z46" i="8"/>
  <c r="AC46" i="8" s="1"/>
  <c r="L46" i="8" s="1"/>
  <c r="P46" i="8"/>
  <c r="K46" i="8"/>
  <c r="D46" i="8"/>
  <c r="B46" i="8"/>
  <c r="AB45" i="8"/>
  <c r="AA45" i="8"/>
  <c r="AC45" i="8" s="1"/>
  <c r="L45" i="8" s="1"/>
  <c r="Z45" i="8"/>
  <c r="P45" i="8"/>
  <c r="K45" i="8"/>
  <c r="D45" i="8"/>
  <c r="B45" i="8"/>
  <c r="AB44" i="8"/>
  <c r="AA44" i="8"/>
  <c r="Z44" i="8"/>
  <c r="AC44" i="8" s="1"/>
  <c r="L44" i="8" s="1"/>
  <c r="P44" i="8"/>
  <c r="K44" i="8"/>
  <c r="D44" i="8"/>
  <c r="B44" i="8"/>
  <c r="AB43" i="8"/>
  <c r="AA43" i="8"/>
  <c r="AC43" i="8" s="1"/>
  <c r="L43" i="8" s="1"/>
  <c r="Z43" i="8"/>
  <c r="P43" i="8"/>
  <c r="K43" i="8"/>
  <c r="D43" i="8"/>
  <c r="B43" i="8"/>
  <c r="AB42" i="8"/>
  <c r="AA42" i="8"/>
  <c r="Z42" i="8"/>
  <c r="AC42" i="8" s="1"/>
  <c r="L42" i="8" s="1"/>
  <c r="P42" i="8"/>
  <c r="K42" i="8"/>
  <c r="D42" i="8"/>
  <c r="B42" i="8"/>
  <c r="AB41" i="8"/>
  <c r="AA41" i="8"/>
  <c r="AC41" i="8" s="1"/>
  <c r="L41" i="8" s="1"/>
  <c r="Z41" i="8"/>
  <c r="P41" i="8"/>
  <c r="K41" i="8"/>
  <c r="D41" i="8"/>
  <c r="B41" i="8"/>
  <c r="AB40" i="8"/>
  <c r="AA40" i="8"/>
  <c r="Z40" i="8"/>
  <c r="AC40" i="8" s="1"/>
  <c r="L40" i="8" s="1"/>
  <c r="P40" i="8"/>
  <c r="K40" i="8"/>
  <c r="D40" i="8"/>
  <c r="B40" i="8"/>
  <c r="AB39" i="8"/>
  <c r="AA39" i="8"/>
  <c r="AC39" i="8" s="1"/>
  <c r="L39" i="8" s="1"/>
  <c r="Z39" i="8"/>
  <c r="P39" i="8"/>
  <c r="K39" i="8"/>
  <c r="D39" i="8"/>
  <c r="B39" i="8"/>
  <c r="AB38" i="8"/>
  <c r="AA38" i="8"/>
  <c r="Z38" i="8"/>
  <c r="AC38" i="8" s="1"/>
  <c r="L38" i="8" s="1"/>
  <c r="P38" i="8"/>
  <c r="K38" i="8"/>
  <c r="D38" i="8"/>
  <c r="B38" i="8"/>
  <c r="AB37" i="8"/>
  <c r="AA37" i="8"/>
  <c r="AC37" i="8" s="1"/>
  <c r="L37" i="8" s="1"/>
  <c r="Z37" i="8"/>
  <c r="P37" i="8"/>
  <c r="K37" i="8"/>
  <c r="D37" i="8"/>
  <c r="B37" i="8"/>
  <c r="AB36" i="8"/>
  <c r="AA36" i="8"/>
  <c r="Z36" i="8"/>
  <c r="AC36" i="8" s="1"/>
  <c r="L36" i="8" s="1"/>
  <c r="P36" i="8"/>
  <c r="K36" i="8"/>
  <c r="D36" i="8"/>
  <c r="B36" i="8"/>
  <c r="AB35" i="8"/>
  <c r="AA35" i="8"/>
  <c r="AC35" i="8" s="1"/>
  <c r="L35" i="8" s="1"/>
  <c r="Z35" i="8"/>
  <c r="P35" i="8"/>
  <c r="K35" i="8"/>
  <c r="D35" i="8"/>
  <c r="B35" i="8"/>
  <c r="AB34" i="8"/>
  <c r="AA34" i="8"/>
  <c r="Z34" i="8"/>
  <c r="AC34" i="8" s="1"/>
  <c r="L34" i="8" s="1"/>
  <c r="P34" i="8"/>
  <c r="K34" i="8"/>
  <c r="D34" i="8"/>
  <c r="B34" i="8"/>
  <c r="AB33" i="8"/>
  <c r="AA33" i="8"/>
  <c r="AC33" i="8" s="1"/>
  <c r="L33" i="8" s="1"/>
  <c r="Z33" i="8"/>
  <c r="P33" i="8"/>
  <c r="K33" i="8"/>
  <c r="D33" i="8"/>
  <c r="B33" i="8"/>
  <c r="AB32" i="8"/>
  <c r="AA32" i="8"/>
  <c r="Z32" i="8"/>
  <c r="AC32" i="8" s="1"/>
  <c r="L32" i="8" s="1"/>
  <c r="P32" i="8"/>
  <c r="K32" i="8"/>
  <c r="D32" i="8"/>
  <c r="B32" i="8"/>
  <c r="AB31" i="8"/>
  <c r="AA31" i="8"/>
  <c r="AC31" i="8" s="1"/>
  <c r="L31" i="8" s="1"/>
  <c r="Z31" i="8"/>
  <c r="P31" i="8"/>
  <c r="K31" i="8"/>
  <c r="D31" i="8"/>
  <c r="B31" i="8"/>
  <c r="AB30" i="8"/>
  <c r="AA30" i="8"/>
  <c r="Z30" i="8"/>
  <c r="AC30" i="8" s="1"/>
  <c r="L30" i="8" s="1"/>
  <c r="P30" i="8"/>
  <c r="K30" i="8"/>
  <c r="D30" i="8"/>
  <c r="B30" i="8"/>
  <c r="AB29" i="8"/>
  <c r="AA29" i="8"/>
  <c r="AC29" i="8" s="1"/>
  <c r="L29" i="8" s="1"/>
  <c r="Z29" i="8"/>
  <c r="P29" i="8"/>
  <c r="K29" i="8"/>
  <c r="D29" i="8"/>
  <c r="B29" i="8"/>
  <c r="AB28" i="8"/>
  <c r="AA28" i="8"/>
  <c r="Z28" i="8"/>
  <c r="AC28" i="8" s="1"/>
  <c r="L28" i="8" s="1"/>
  <c r="P28" i="8"/>
  <c r="K28" i="8"/>
  <c r="D28" i="8"/>
  <c r="B28" i="8"/>
  <c r="AB27" i="8"/>
  <c r="AA27" i="8"/>
  <c r="AC27" i="8" s="1"/>
  <c r="L27" i="8" s="1"/>
  <c r="Z27" i="8"/>
  <c r="P27" i="8"/>
  <c r="K27" i="8"/>
  <c r="D27" i="8"/>
  <c r="B27" i="8"/>
  <c r="AB26" i="8"/>
  <c r="AA26" i="8"/>
  <c r="Z26" i="8"/>
  <c r="AC26" i="8" s="1"/>
  <c r="L26" i="8" s="1"/>
  <c r="P26" i="8"/>
  <c r="K26" i="8"/>
  <c r="D26" i="8"/>
  <c r="B26" i="8"/>
  <c r="AB25" i="8"/>
  <c r="AA25" i="8"/>
  <c r="AC25" i="8" s="1"/>
  <c r="L25" i="8" s="1"/>
  <c r="Z25" i="8"/>
  <c r="P25" i="8"/>
  <c r="K25" i="8"/>
  <c r="D25" i="8"/>
  <c r="B25" i="8"/>
  <c r="AB24" i="8"/>
  <c r="AA24" i="8"/>
  <c r="Z24" i="8"/>
  <c r="AC24" i="8" s="1"/>
  <c r="L24" i="8" s="1"/>
  <c r="P24" i="8"/>
  <c r="K24" i="8"/>
  <c r="D24" i="8"/>
  <c r="B24" i="8"/>
  <c r="AB23" i="8"/>
  <c r="AA23" i="8"/>
  <c r="AC23" i="8" s="1"/>
  <c r="L23" i="8" s="1"/>
  <c r="Z23" i="8"/>
  <c r="P23" i="8"/>
  <c r="K23" i="8"/>
  <c r="D23" i="8"/>
  <c r="B23" i="8"/>
  <c r="AB22" i="8"/>
  <c r="AA22" i="8"/>
  <c r="Z22" i="8"/>
  <c r="AC22" i="8" s="1"/>
  <c r="L22" i="8" s="1"/>
  <c r="P22" i="8"/>
  <c r="K22" i="8"/>
  <c r="D22" i="8"/>
  <c r="B22" i="8"/>
  <c r="AB21" i="8"/>
  <c r="AA21" i="8"/>
  <c r="AC21" i="8" s="1"/>
  <c r="L21" i="8" s="1"/>
  <c r="Z21" i="8"/>
  <c r="P21" i="8"/>
  <c r="K21" i="8"/>
  <c r="D21" i="8"/>
  <c r="B21" i="8"/>
  <c r="AB20" i="8"/>
  <c r="AA20" i="8"/>
  <c r="Z20" i="8"/>
  <c r="AC20" i="8" s="1"/>
  <c r="L20" i="8" s="1"/>
  <c r="P20" i="8"/>
  <c r="K20" i="8"/>
  <c r="D20" i="8"/>
  <c r="B20" i="8"/>
  <c r="AB19" i="8"/>
  <c r="AA19" i="8"/>
  <c r="AC19" i="8" s="1"/>
  <c r="L19" i="8" s="1"/>
  <c r="Z19" i="8"/>
  <c r="P19" i="8"/>
  <c r="K19" i="8"/>
  <c r="D19" i="8"/>
  <c r="B19" i="8"/>
  <c r="AB18" i="8"/>
  <c r="AA18" i="8"/>
  <c r="Z18" i="8"/>
  <c r="AC18" i="8" s="1"/>
  <c r="L18" i="8" s="1"/>
  <c r="P18" i="8"/>
  <c r="K18" i="8"/>
  <c r="D18" i="8"/>
  <c r="B18" i="8"/>
  <c r="AB17" i="8"/>
  <c r="AA17" i="8"/>
  <c r="AC17" i="8" s="1"/>
  <c r="L17" i="8" s="1"/>
  <c r="Z17" i="8"/>
  <c r="P17" i="8"/>
  <c r="K17" i="8"/>
  <c r="D17" i="8"/>
  <c r="B17" i="8"/>
  <c r="AB16" i="8"/>
  <c r="AA16" i="8"/>
  <c r="Z16" i="8"/>
  <c r="AC16" i="8" s="1"/>
  <c r="L16" i="8" s="1"/>
  <c r="P16" i="8"/>
  <c r="K16" i="8"/>
  <c r="D16" i="8"/>
  <c r="B16" i="8"/>
  <c r="AB15" i="8"/>
  <c r="AA15" i="8"/>
  <c r="AC15" i="8" s="1"/>
  <c r="L15" i="8" s="1"/>
  <c r="Z15" i="8"/>
  <c r="P15" i="8"/>
  <c r="K15" i="8"/>
  <c r="D15" i="8"/>
  <c r="B15" i="8"/>
  <c r="AB14" i="8"/>
  <c r="AA14" i="8"/>
  <c r="Z14" i="8"/>
  <c r="AC14" i="8" s="1"/>
  <c r="L14" i="8" s="1"/>
  <c r="P14" i="8"/>
  <c r="K14" i="8"/>
  <c r="D14" i="8"/>
  <c r="B14" i="8"/>
  <c r="AB13" i="8"/>
  <c r="AA13" i="8"/>
  <c r="AC13" i="8" s="1"/>
  <c r="L13" i="8" s="1"/>
  <c r="Z13" i="8"/>
  <c r="P13" i="8"/>
  <c r="K13" i="8"/>
  <c r="D13" i="8"/>
  <c r="B13" i="8"/>
  <c r="AB12" i="8"/>
  <c r="AA12" i="8"/>
  <c r="Z12" i="8"/>
  <c r="AC12" i="8" s="1"/>
  <c r="L12" i="8" s="1"/>
  <c r="P12" i="8"/>
  <c r="K12" i="8"/>
  <c r="D12" i="8"/>
  <c r="B12" i="8"/>
  <c r="AB11" i="8"/>
  <c r="AA11" i="8"/>
  <c r="AC11" i="8" s="1"/>
  <c r="L11" i="8" s="1"/>
  <c r="Z11" i="8"/>
  <c r="P11" i="8"/>
  <c r="K11" i="8"/>
  <c r="D11" i="8"/>
  <c r="B11" i="8"/>
  <c r="AB10" i="8"/>
  <c r="AA10" i="8"/>
  <c r="Z10" i="8"/>
  <c r="AC10" i="8" s="1"/>
  <c r="L10" i="8" s="1"/>
  <c r="P10" i="8"/>
  <c r="K10" i="8"/>
  <c r="D10" i="8"/>
  <c r="B10" i="8"/>
  <c r="AB8" i="8"/>
  <c r="AA8" i="8"/>
  <c r="AC8" i="8" s="1"/>
  <c r="L8" i="8" s="1"/>
  <c r="Z8" i="8"/>
  <c r="P8" i="8"/>
  <c r="K8" i="8"/>
  <c r="D8" i="8"/>
  <c r="B8" i="8"/>
  <c r="AB7" i="8"/>
  <c r="AA7" i="8"/>
  <c r="Z7" i="8"/>
  <c r="AC7" i="8" s="1"/>
  <c r="L7" i="8" s="1"/>
  <c r="P7" i="8"/>
  <c r="K7" i="8"/>
  <c r="D7" i="8"/>
  <c r="B7" i="8"/>
  <c r="AB6" i="8"/>
  <c r="AA6" i="8"/>
  <c r="AC6" i="8" s="1"/>
  <c r="L6" i="8" s="1"/>
  <c r="Z6" i="8"/>
  <c r="P6" i="8"/>
  <c r="K6" i="8"/>
  <c r="D6" i="8"/>
  <c r="B6" i="8"/>
  <c r="AB5" i="8"/>
  <c r="AA5" i="8"/>
  <c r="Z5" i="8"/>
  <c r="AC5" i="8" s="1"/>
  <c r="L5" i="8" s="1"/>
  <c r="P5" i="8"/>
  <c r="K5" i="8"/>
  <c r="D5" i="8"/>
  <c r="B5" i="8"/>
  <c r="AB4" i="8"/>
  <c r="AA4" i="8"/>
  <c r="AC4" i="8" s="1"/>
  <c r="L4" i="8" s="1"/>
  <c r="Z4" i="8"/>
  <c r="P4" i="8"/>
  <c r="K4" i="8"/>
  <c r="D4" i="8"/>
  <c r="B4" i="8"/>
  <c r="AB3" i="8"/>
  <c r="AA3" i="8"/>
  <c r="Z3" i="8"/>
  <c r="AC3" i="8" s="1"/>
  <c r="L3" i="8" s="1"/>
  <c r="P3" i="8"/>
  <c r="K3" i="8"/>
  <c r="D3" i="8"/>
  <c r="B3" i="8"/>
  <c r="AB2" i="8"/>
  <c r="AA2" i="8"/>
  <c r="AC2" i="8" s="1"/>
  <c r="Z2" i="8"/>
  <c r="P2" i="8"/>
  <c r="K2" i="8"/>
  <c r="K395" i="8" s="1"/>
  <c r="D2" i="8"/>
  <c r="B2" i="8"/>
  <c r="G87" i="1"/>
  <c r="C87" i="1"/>
  <c r="G86" i="1"/>
  <c r="C86" i="1"/>
  <c r="C77" i="1"/>
  <c r="C76" i="1"/>
  <c r="C80" i="1" s="1"/>
  <c r="C69" i="1"/>
  <c r="C73" i="1" s="1"/>
  <c r="C66" i="1"/>
  <c r="G60" i="1"/>
  <c r="C56" i="1"/>
  <c r="C54" i="1"/>
  <c r="G53" i="1"/>
  <c r="C46" i="1"/>
  <c r="C44" i="1"/>
  <c r="C43" i="1"/>
  <c r="C35" i="1"/>
  <c r="C40" i="1" s="1"/>
  <c r="G32" i="1"/>
  <c r="H30" i="1"/>
  <c r="H31" i="1" s="1"/>
  <c r="H32" i="1" s="1"/>
  <c r="H33" i="1" s="1"/>
  <c r="H34" i="1" s="1"/>
  <c r="H35" i="1" s="1"/>
  <c r="H36" i="1" s="1"/>
  <c r="H37" i="1" s="1"/>
  <c r="H38" i="1" s="1"/>
  <c r="H39" i="1" s="1"/>
  <c r="C25" i="1"/>
  <c r="C32" i="1" s="1"/>
  <c r="G20" i="1"/>
  <c r="H17" i="1"/>
  <c r="H18" i="1" s="1"/>
  <c r="H19" i="1" s="1"/>
  <c r="H20" i="1" s="1"/>
  <c r="H21" i="1" s="1"/>
  <c r="H22" i="1" s="1"/>
  <c r="H23" i="1" s="1"/>
  <c r="H24" i="1" s="1"/>
  <c r="H25" i="1" s="1"/>
  <c r="H26" i="1" s="1"/>
  <c r="G14" i="1"/>
  <c r="C14" i="1"/>
  <c r="J13" i="1"/>
  <c r="C13" i="1"/>
  <c r="M12" i="1"/>
  <c r="C11" i="1"/>
  <c r="C10" i="1"/>
  <c r="C9" i="1"/>
  <c r="M8" i="1"/>
  <c r="J8" i="1"/>
  <c r="J7" i="1"/>
  <c r="J5" i="1"/>
  <c r="J3" i="1"/>
  <c r="C3" i="1"/>
  <c r="C6" i="1" s="1"/>
  <c r="J2" i="1"/>
  <c r="G55" i="1" s="1"/>
  <c r="G1" i="1"/>
  <c r="C1" i="1"/>
  <c r="M73" i="3"/>
  <c r="L73" i="3"/>
  <c r="H73" i="3"/>
  <c r="F73" i="3"/>
  <c r="M71" i="3"/>
  <c r="L71" i="3"/>
  <c r="H71" i="3"/>
  <c r="F71" i="3"/>
  <c r="M69" i="3"/>
  <c r="L69" i="3"/>
  <c r="H69" i="3"/>
  <c r="F69" i="3"/>
  <c r="M67" i="3"/>
  <c r="L67" i="3"/>
  <c r="H67" i="3"/>
  <c r="F67" i="3"/>
  <c r="M65" i="3"/>
  <c r="L65" i="3"/>
  <c r="H65" i="3"/>
  <c r="F65" i="3"/>
  <c r="M63" i="3"/>
  <c r="L63" i="3"/>
  <c r="H63" i="3"/>
  <c r="F63" i="3"/>
  <c r="M61" i="3"/>
  <c r="L61" i="3"/>
  <c r="H61" i="3"/>
  <c r="F61" i="3"/>
  <c r="M59" i="3"/>
  <c r="L59" i="3"/>
  <c r="H59" i="3"/>
  <c r="F59" i="3"/>
  <c r="M57" i="3"/>
  <c r="L57" i="3"/>
  <c r="H57" i="3"/>
  <c r="F57" i="3"/>
  <c r="M55" i="3"/>
  <c r="L55" i="3"/>
  <c r="H55" i="3"/>
  <c r="F55" i="3"/>
  <c r="N54" i="3"/>
  <c r="M54" i="3"/>
  <c r="L54" i="3"/>
  <c r="K54" i="3"/>
  <c r="H54" i="3"/>
  <c r="G54" i="3"/>
  <c r="F54" i="3"/>
  <c r="E54" i="3"/>
  <c r="D54" i="3"/>
  <c r="C13" i="6" s="1"/>
  <c r="C54" i="3"/>
  <c r="Z38" i="3"/>
  <c r="Z37" i="3"/>
  <c r="Z36" i="3"/>
  <c r="Z35" i="3"/>
  <c r="Z34" i="3"/>
  <c r="Z33" i="3"/>
  <c r="Z32" i="3"/>
  <c r="Z31" i="3"/>
  <c r="Z30" i="3"/>
  <c r="N30" i="3"/>
  <c r="Z29" i="3"/>
  <c r="M29" i="3"/>
  <c r="M53" i="3" s="1"/>
  <c r="L29" i="3"/>
  <c r="L53" i="3" s="1"/>
  <c r="K29" i="3"/>
  <c r="K53" i="3" s="1"/>
  <c r="J29" i="3"/>
  <c r="J44" i="3" s="1"/>
  <c r="J68" i="3" s="1"/>
  <c r="I29" i="3"/>
  <c r="H29" i="3"/>
  <c r="H53" i="3" s="1"/>
  <c r="G29" i="3"/>
  <c r="G53" i="3" s="1"/>
  <c r="F29" i="3"/>
  <c r="F53" i="3" s="1"/>
  <c r="E29" i="3"/>
  <c r="D29" i="3"/>
  <c r="D42" i="3" s="1"/>
  <c r="C29" i="3"/>
  <c r="AA25" i="3"/>
  <c r="AB25" i="3" s="1"/>
  <c r="AA24" i="3"/>
  <c r="AB24" i="3" s="1"/>
  <c r="AB23" i="3"/>
  <c r="AA23" i="3"/>
  <c r="AA22" i="3"/>
  <c r="AB22" i="3" s="1"/>
  <c r="AB21" i="3"/>
  <c r="AA21" i="3"/>
  <c r="AA20" i="3"/>
  <c r="AB19" i="3"/>
  <c r="AA19" i="3"/>
  <c r="AA18" i="3"/>
  <c r="AA17" i="3"/>
  <c r="AA16" i="3"/>
  <c r="AA15" i="3"/>
  <c r="AB15" i="3" s="1"/>
  <c r="AA14" i="3"/>
  <c r="AA13" i="3"/>
  <c r="AB12" i="3"/>
  <c r="AA12" i="3"/>
  <c r="D12" i="3"/>
  <c r="AA11" i="3"/>
  <c r="AB11" i="3" s="1"/>
  <c r="AB10" i="3"/>
  <c r="AA10" i="3"/>
  <c r="W10" i="3"/>
  <c r="D10" i="3"/>
  <c r="AB9" i="3"/>
  <c r="AA9" i="3"/>
  <c r="W9" i="3"/>
  <c r="AA8" i="3"/>
  <c r="AB8" i="3" s="1"/>
  <c r="W8" i="3"/>
  <c r="D8" i="3"/>
  <c r="V30" i="3" s="1"/>
  <c r="AA7" i="3"/>
  <c r="AB7" i="3" s="1"/>
  <c r="W7" i="3"/>
  <c r="N7" i="3"/>
  <c r="AA6" i="3"/>
  <c r="AB6" i="3" s="1"/>
  <c r="R6" i="3"/>
  <c r="O6" i="3"/>
  <c r="AB5" i="3"/>
  <c r="AA5" i="3"/>
  <c r="W5" i="3"/>
  <c r="AA4" i="3"/>
  <c r="AB4" i="3" s="1"/>
  <c r="AB3" i="3"/>
  <c r="AA3" i="3"/>
  <c r="W3" i="3"/>
  <c r="G3" i="3"/>
  <c r="F3" i="3"/>
  <c r="F5" i="3" s="1"/>
  <c r="E3" i="3"/>
  <c r="D3" i="3"/>
  <c r="AB2" i="3"/>
  <c r="AA2" i="3"/>
  <c r="X2" i="3"/>
  <c r="W2" i="3"/>
  <c r="C1" i="3"/>
  <c r="F40" i="6"/>
  <c r="T26" i="4" s="1"/>
  <c r="C29" i="6"/>
  <c r="C27" i="6"/>
  <c r="C25" i="6"/>
  <c r="B23" i="6"/>
  <c r="F43" i="6" s="1"/>
  <c r="T30" i="4" s="1"/>
  <c r="C22" i="6"/>
  <c r="C21" i="6"/>
  <c r="G20" i="6"/>
  <c r="C20" i="6"/>
  <c r="G18" i="6"/>
  <c r="C18" i="6"/>
  <c r="G16" i="6"/>
  <c r="C16" i="6"/>
  <c r="B14" i="6"/>
  <c r="F42" i="6" s="1"/>
  <c r="T28" i="4" s="1"/>
  <c r="F13" i="6"/>
  <c r="F41" i="6" s="1"/>
  <c r="T27" i="4" s="1"/>
  <c r="C12" i="6"/>
  <c r="C10" i="6"/>
  <c r="G8" i="6"/>
  <c r="B8" i="6"/>
  <c r="C3" i="3" s="1"/>
  <c r="C5" i="3" s="1"/>
  <c r="C4" i="6"/>
  <c r="B2" i="6"/>
  <c r="B1" i="6"/>
  <c r="F4" i="6" s="1"/>
  <c r="T32" i="4"/>
  <c r="T31" i="4"/>
  <c r="U24" i="4"/>
  <c r="T24" i="4"/>
  <c r="Z19" i="4"/>
  <c r="G19" i="4" s="1"/>
  <c r="W24" i="3" s="1"/>
  <c r="X24" i="3" s="1"/>
  <c r="C17" i="4"/>
  <c r="C16" i="4"/>
  <c r="J9" i="1" s="1"/>
  <c r="G15" i="4"/>
  <c r="M13" i="1" s="1"/>
  <c r="Z14" i="4"/>
  <c r="J14" i="4"/>
  <c r="G14" i="4"/>
  <c r="M11" i="1" s="1"/>
  <c r="Z13" i="4"/>
  <c r="J13" i="4"/>
  <c r="G13" i="4"/>
  <c r="W22" i="3" s="1"/>
  <c r="K57" i="3" s="1"/>
  <c r="Z12" i="4"/>
  <c r="J12" i="4"/>
  <c r="G12" i="4"/>
  <c r="M9" i="1" s="1"/>
  <c r="J11" i="4"/>
  <c r="Z10" i="4"/>
  <c r="J10" i="4"/>
  <c r="G10" i="4"/>
  <c r="W20" i="3" s="1"/>
  <c r="X20" i="3" s="1"/>
  <c r="C10" i="4"/>
  <c r="Z9" i="4"/>
  <c r="J9" i="4"/>
  <c r="G9" i="4"/>
  <c r="W19" i="3" s="1"/>
  <c r="X19" i="3" s="1"/>
  <c r="C9" i="4"/>
  <c r="W6" i="3" s="1"/>
  <c r="Z8" i="4"/>
  <c r="J8" i="4"/>
  <c r="G8" i="4"/>
  <c r="W16" i="3" s="1"/>
  <c r="X16" i="3" s="1"/>
  <c r="Z7" i="4"/>
  <c r="G7" i="4" s="1"/>
  <c r="W15" i="3" s="1"/>
  <c r="X15" i="3" s="1"/>
  <c r="D9" i="3" s="1"/>
  <c r="J7" i="4"/>
  <c r="C7" i="4"/>
  <c r="J4" i="1" s="1"/>
  <c r="Z6" i="4"/>
  <c r="J6" i="4"/>
  <c r="G6" i="4"/>
  <c r="M5" i="1" s="1"/>
  <c r="N5" i="1" s="1"/>
  <c r="Z5" i="4"/>
  <c r="O5" i="4"/>
  <c r="N5" i="4"/>
  <c r="J5" i="4"/>
  <c r="G5" i="4"/>
  <c r="M6" i="1" s="1"/>
  <c r="N6" i="1" s="1"/>
  <c r="C5" i="4"/>
  <c r="J10" i="1" s="1"/>
  <c r="Z4" i="4"/>
  <c r="W4" i="4"/>
  <c r="W5" i="4" s="1"/>
  <c r="W6" i="4" s="1"/>
  <c r="W7" i="4" s="1"/>
  <c r="W8" i="4" s="1"/>
  <c r="W9" i="4" s="1"/>
  <c r="W10" i="4" s="1"/>
  <c r="W11" i="4" s="1"/>
  <c r="W12" i="4" s="1"/>
  <c r="W13" i="4" s="1"/>
  <c r="W14" i="4" s="1"/>
  <c r="L4" i="4"/>
  <c r="J4" i="4"/>
  <c r="G4" i="4"/>
  <c r="M2" i="1" s="1"/>
  <c r="N2" i="1" s="1"/>
  <c r="Z3" i="4"/>
  <c r="G3" i="4" s="1"/>
  <c r="M3" i="1" s="1"/>
  <c r="N3" i="1" s="1"/>
  <c r="M10" i="1" l="1"/>
  <c r="J40" i="3"/>
  <c r="J64" i="3" s="1"/>
  <c r="T29" i="4"/>
  <c r="C14" i="6"/>
  <c r="G42" i="6" s="1"/>
  <c r="U28" i="4" s="1"/>
  <c r="C8" i="6"/>
  <c r="N9" i="3"/>
  <c r="N6" i="4"/>
  <c r="D13" i="3"/>
  <c r="N13" i="3" s="1"/>
  <c r="D11" i="3"/>
  <c r="N7" i="4" s="1"/>
  <c r="C23" i="6"/>
  <c r="G43" i="6" s="1"/>
  <c r="U30" i="4" s="1"/>
  <c r="B31" i="6"/>
  <c r="F31" i="6" s="1"/>
  <c r="F39" i="6" s="1"/>
  <c r="K47" i="3"/>
  <c r="K45" i="3"/>
  <c r="K43" i="3"/>
  <c r="O49" i="3"/>
  <c r="R47" i="3"/>
  <c r="R43" i="3"/>
  <c r="O39" i="3"/>
  <c r="R35" i="3"/>
  <c r="O33" i="3"/>
  <c r="O31" i="3"/>
  <c r="S6" i="3"/>
  <c r="T6" i="3" s="1"/>
  <c r="Q5" i="4" s="1"/>
  <c r="R59" i="3"/>
  <c r="O55" i="3"/>
  <c r="AA32" i="3"/>
  <c r="AB14" i="3"/>
  <c r="AA34" i="3"/>
  <c r="AB16" i="3"/>
  <c r="AA36" i="3"/>
  <c r="AB18" i="3"/>
  <c r="AA38" i="3"/>
  <c r="AB20" i="3"/>
  <c r="C48" i="3"/>
  <c r="S4" i="4"/>
  <c r="E48" i="3"/>
  <c r="E72" i="3" s="1"/>
  <c r="E46" i="3"/>
  <c r="E70" i="3" s="1"/>
  <c r="E42" i="3"/>
  <c r="E66" i="3" s="1"/>
  <c r="E36" i="3"/>
  <c r="E60" i="3" s="1"/>
  <c r="E32" i="3"/>
  <c r="E56" i="3" s="1"/>
  <c r="E53" i="3"/>
  <c r="I42" i="3"/>
  <c r="I66" i="3" s="1"/>
  <c r="I44" i="3"/>
  <c r="I68" i="3" s="1"/>
  <c r="I40" i="3"/>
  <c r="I64" i="3" s="1"/>
  <c r="I38" i="3"/>
  <c r="I62" i="3" s="1"/>
  <c r="I34" i="3"/>
  <c r="I58" i="3" s="1"/>
  <c r="I53" i="3"/>
  <c r="AA29" i="3"/>
  <c r="AA30" i="3"/>
  <c r="K33" i="3"/>
  <c r="E34" i="3"/>
  <c r="E58" i="3" s="1"/>
  <c r="I36" i="3"/>
  <c r="I60" i="3" s="1"/>
  <c r="E38" i="3"/>
  <c r="E62" i="3" s="1"/>
  <c r="R39" i="3"/>
  <c r="O41" i="3"/>
  <c r="O43" i="3"/>
  <c r="I46" i="3"/>
  <c r="I70" i="3" s="1"/>
  <c r="O47" i="3"/>
  <c r="L2" i="8"/>
  <c r="P6" i="3"/>
  <c r="Q6" i="3" s="1"/>
  <c r="AA31" i="3"/>
  <c r="AB13" i="3"/>
  <c r="AA35" i="3"/>
  <c r="AB17" i="3"/>
  <c r="W21" i="3"/>
  <c r="O57" i="3" s="1"/>
  <c r="W23" i="3"/>
  <c r="O71" i="3" s="1"/>
  <c r="I30" i="3"/>
  <c r="I54" i="3" s="1"/>
  <c r="R33" i="3"/>
  <c r="AA33" i="3"/>
  <c r="K35" i="3"/>
  <c r="O37" i="3"/>
  <c r="AA37" i="3"/>
  <c r="K39" i="3"/>
  <c r="E44" i="3"/>
  <c r="E68" i="3" s="1"/>
  <c r="R45" i="3"/>
  <c r="I48" i="3"/>
  <c r="I72" i="3" s="1"/>
  <c r="B4" i="6"/>
  <c r="G4" i="6"/>
  <c r="G40" i="6"/>
  <c r="U26" i="4" s="1"/>
  <c r="E22" i="3"/>
  <c r="W4" i="3"/>
  <c r="N69" i="3"/>
  <c r="J30" i="3"/>
  <c r="J54" i="3" s="1"/>
  <c r="O54" i="3" s="1"/>
  <c r="J36" i="3"/>
  <c r="J60" i="3" s="1"/>
  <c r="J46" i="3"/>
  <c r="J70" i="3" s="1"/>
  <c r="J48" i="3"/>
  <c r="J72" i="3" s="1"/>
  <c r="J53" i="3"/>
  <c r="C51" i="1"/>
  <c r="AC163" i="8"/>
  <c r="L163" i="8" s="1"/>
  <c r="Z395" i="8"/>
  <c r="AB416" i="8"/>
  <c r="Z416" i="8"/>
  <c r="K421" i="8"/>
  <c r="B421" i="8"/>
  <c r="Z421" i="8"/>
  <c r="X426" i="8"/>
  <c r="AA426" i="8" s="1"/>
  <c r="AA424" i="8"/>
  <c r="AC424" i="8"/>
  <c r="L424" i="8" s="1"/>
  <c r="L440" i="7"/>
  <c r="B400" i="8"/>
  <c r="Z400" i="8"/>
  <c r="AC400" i="8" s="1"/>
  <c r="L400" i="8" s="1"/>
  <c r="AC405" i="8"/>
  <c r="L405" i="8" s="1"/>
  <c r="AC409" i="8"/>
  <c r="L409" i="8" s="1"/>
  <c r="K416" i="8"/>
  <c r="B416" i="8"/>
  <c r="X421" i="8"/>
  <c r="AA421" i="8" s="1"/>
  <c r="AA419" i="8"/>
  <c r="AC419" i="8"/>
  <c r="L419" i="8" s="1"/>
  <c r="AB424" i="8"/>
  <c r="K426" i="8"/>
  <c r="B426" i="8"/>
  <c r="AB426" i="8"/>
  <c r="Z426" i="8"/>
  <c r="M440" i="7"/>
  <c r="B440" i="7"/>
  <c r="D440" i="7"/>
  <c r="F440" i="7"/>
  <c r="H440" i="7"/>
  <c r="J440" i="7"/>
  <c r="C440" i="7"/>
  <c r="E440" i="7"/>
  <c r="G440" i="7"/>
  <c r="I440" i="7"/>
  <c r="K440" i="7"/>
  <c r="C72" i="3"/>
  <c r="D66" i="3"/>
  <c r="E10" i="3"/>
  <c r="E14" i="3"/>
  <c r="D16" i="3"/>
  <c r="D22" i="3"/>
  <c r="P29" i="3"/>
  <c r="G31" i="3"/>
  <c r="N31" i="3"/>
  <c r="C32" i="3"/>
  <c r="J32" i="3"/>
  <c r="J56" i="3" s="1"/>
  <c r="D34" i="3"/>
  <c r="D58" i="3" s="1"/>
  <c r="G37" i="3"/>
  <c r="N37" i="3"/>
  <c r="D38" i="3"/>
  <c r="D62" i="3" s="1"/>
  <c r="G41" i="3"/>
  <c r="N41" i="3"/>
  <c r="C42" i="3"/>
  <c r="J42" i="3"/>
  <c r="J66" i="3" s="1"/>
  <c r="D44" i="3"/>
  <c r="D68" i="3" s="1"/>
  <c r="G49" i="3"/>
  <c r="N49" i="3"/>
  <c r="D53" i="3"/>
  <c r="N55" i="3"/>
  <c r="G57" i="3"/>
  <c r="R61" i="3"/>
  <c r="J12" i="1"/>
  <c r="C4" i="3"/>
  <c r="E8" i="3"/>
  <c r="D14" i="3"/>
  <c r="E20" i="3"/>
  <c r="K31" i="3"/>
  <c r="R31" i="3"/>
  <c r="I32" i="3"/>
  <c r="G33" i="3"/>
  <c r="N33" i="3"/>
  <c r="C34" i="3"/>
  <c r="J34" i="3"/>
  <c r="J58" i="3" s="1"/>
  <c r="O35" i="3"/>
  <c r="D36" i="3"/>
  <c r="D60" i="3" s="1"/>
  <c r="K37" i="3"/>
  <c r="R37" i="3"/>
  <c r="C38" i="3"/>
  <c r="J38" i="3"/>
  <c r="J62" i="3" s="1"/>
  <c r="E40" i="3"/>
  <c r="E64" i="3" s="1"/>
  <c r="K41" i="3"/>
  <c r="R41" i="3"/>
  <c r="G43" i="3"/>
  <c r="N43" i="3"/>
  <c r="C44" i="3"/>
  <c r="O45" i="3"/>
  <c r="D46" i="3"/>
  <c r="D70" i="3" s="1"/>
  <c r="K49" i="3"/>
  <c r="C53" i="3"/>
  <c r="R55" i="3"/>
  <c r="N57" i="3"/>
  <c r="O59" i="3"/>
  <c r="O67" i="3"/>
  <c r="J6" i="1"/>
  <c r="C42" i="1" s="1"/>
  <c r="C24" i="1"/>
  <c r="C75" i="1"/>
  <c r="E18" i="3"/>
  <c r="D20" i="3"/>
  <c r="E24" i="3"/>
  <c r="G35" i="3"/>
  <c r="N35" i="3"/>
  <c r="C36" i="3"/>
  <c r="D40" i="3"/>
  <c r="D64" i="3" s="1"/>
  <c r="G45" i="3"/>
  <c r="N45" i="3"/>
  <c r="C46" i="3"/>
  <c r="D48" i="3"/>
  <c r="D72" i="3" s="1"/>
  <c r="N59" i="3"/>
  <c r="K61" i="3"/>
  <c r="G69" i="3"/>
  <c r="K11" i="1"/>
  <c r="J11" i="1" s="1"/>
  <c r="E12" i="3"/>
  <c r="E16" i="3"/>
  <c r="D18" i="3"/>
  <c r="D24" i="3"/>
  <c r="D32" i="3"/>
  <c r="G39" i="3"/>
  <c r="N39" i="3"/>
  <c r="C40" i="3"/>
  <c r="G47" i="3"/>
  <c r="N47" i="3"/>
  <c r="G55" i="3"/>
  <c r="N61" i="3"/>
  <c r="R67" i="3"/>
  <c r="N13" i="1"/>
  <c r="C22" i="1"/>
  <c r="K73" i="3" l="1"/>
  <c r="K63" i="3"/>
  <c r="O69" i="3"/>
  <c r="R65" i="3"/>
  <c r="N65" i="3"/>
  <c r="G59" i="3"/>
  <c r="O65" i="3"/>
  <c r="N11" i="3"/>
  <c r="K71" i="3"/>
  <c r="O63" i="3"/>
  <c r="G63" i="3"/>
  <c r="R73" i="3"/>
  <c r="K69" i="3"/>
  <c r="N67" i="3"/>
  <c r="O61" i="3"/>
  <c r="G61" i="3"/>
  <c r="N73" i="3"/>
  <c r="G67" i="3"/>
  <c r="R63" i="3"/>
  <c r="K59" i="3"/>
  <c r="N71" i="3"/>
  <c r="G65" i="3"/>
  <c r="N8" i="4"/>
  <c r="C31" i="6"/>
  <c r="G31" i="6" s="1"/>
  <c r="F6" i="6"/>
  <c r="F9" i="6" s="1"/>
  <c r="F38" i="6" s="1"/>
  <c r="T25" i="4" s="1"/>
  <c r="D56" i="3"/>
  <c r="V4" i="4"/>
  <c r="V31" i="3"/>
  <c r="V32" i="3" s="1"/>
  <c r="G43" i="1"/>
  <c r="G34" i="1"/>
  <c r="C2" i="1"/>
  <c r="I47" i="3"/>
  <c r="I71" i="3" s="1"/>
  <c r="AB37" i="3"/>
  <c r="J47" i="3"/>
  <c r="J71" i="3" s="1"/>
  <c r="L395" i="8"/>
  <c r="I31" i="3"/>
  <c r="I55" i="3" s="1"/>
  <c r="AB29" i="3"/>
  <c r="J31" i="3"/>
  <c r="J55" i="3" s="1"/>
  <c r="I49" i="3"/>
  <c r="I73" i="3" s="1"/>
  <c r="J49" i="3"/>
  <c r="J73" i="3" s="1"/>
  <c r="AB38" i="3"/>
  <c r="I45" i="3"/>
  <c r="I69" i="3" s="1"/>
  <c r="J45" i="3"/>
  <c r="J69" i="3" s="1"/>
  <c r="AB36" i="3"/>
  <c r="J41" i="3"/>
  <c r="J65" i="3" s="1"/>
  <c r="I41" i="3"/>
  <c r="I65" i="3" s="1"/>
  <c r="AB34" i="3"/>
  <c r="J37" i="3"/>
  <c r="J61" i="3" s="1"/>
  <c r="AB32" i="3"/>
  <c r="I37" i="3"/>
  <c r="I61" i="3" s="1"/>
  <c r="R57" i="3"/>
  <c r="R71" i="3"/>
  <c r="K55" i="3"/>
  <c r="AB421" i="8"/>
  <c r="AC421" i="8" s="1"/>
  <c r="L421" i="8" s="1"/>
  <c r="O30" i="3"/>
  <c r="S30" i="3" s="1"/>
  <c r="O73" i="3"/>
  <c r="G73" i="3"/>
  <c r="R69" i="3"/>
  <c r="K65" i="3"/>
  <c r="N63" i="3"/>
  <c r="AC426" i="8"/>
  <c r="L426" i="8" s="1"/>
  <c r="AC416" i="8"/>
  <c r="L416" i="8" s="1"/>
  <c r="G71" i="3"/>
  <c r="J39" i="3"/>
  <c r="J63" i="3" s="1"/>
  <c r="AB33" i="3"/>
  <c r="I39" i="3"/>
  <c r="I63" i="3" s="1"/>
  <c r="I43" i="3"/>
  <c r="I67" i="3" s="1"/>
  <c r="J43" i="3"/>
  <c r="J67" i="3" s="1"/>
  <c r="AB35" i="3"/>
  <c r="J35" i="3"/>
  <c r="J59" i="3" s="1"/>
  <c r="AB31" i="3"/>
  <c r="I35" i="3"/>
  <c r="I59" i="3" s="1"/>
  <c r="AC395" i="8"/>
  <c r="J33" i="3"/>
  <c r="J57" i="3" s="1"/>
  <c r="AB30" i="3"/>
  <c r="I33" i="3"/>
  <c r="I57" i="3" s="1"/>
  <c r="K67" i="3"/>
  <c r="N40" i="3"/>
  <c r="O40" i="3" s="1"/>
  <c r="C64" i="3"/>
  <c r="P53" i="3"/>
  <c r="S5" i="4"/>
  <c r="C68" i="3"/>
  <c r="N44" i="3"/>
  <c r="O44" i="3" s="1"/>
  <c r="C62" i="3"/>
  <c r="N38" i="3"/>
  <c r="O38" i="3" s="1"/>
  <c r="N56" i="3"/>
  <c r="N32" i="3"/>
  <c r="O32" i="3" s="1"/>
  <c r="C56" i="3"/>
  <c r="C53" i="1"/>
  <c r="C8" i="1"/>
  <c r="C62" i="1"/>
  <c r="C58" i="3"/>
  <c r="N34" i="3"/>
  <c r="N42" i="3"/>
  <c r="O42" i="3" s="1"/>
  <c r="C66" i="3"/>
  <c r="N48" i="3"/>
  <c r="O48" i="3" s="1"/>
  <c r="C20" i="3"/>
  <c r="C14" i="3"/>
  <c r="C22" i="3"/>
  <c r="C16" i="3"/>
  <c r="C12" i="3"/>
  <c r="C8" i="3"/>
  <c r="C24" i="3"/>
  <c r="C18" i="3"/>
  <c r="W11" i="3"/>
  <c r="C10" i="3"/>
  <c r="C70" i="3"/>
  <c r="N46" i="3"/>
  <c r="O46" i="3" s="1"/>
  <c r="C60" i="3"/>
  <c r="N36" i="3"/>
  <c r="O36" i="3" s="1"/>
  <c r="G16" i="1"/>
  <c r="G22" i="1"/>
  <c r="G2" i="1"/>
  <c r="C34" i="1"/>
  <c r="I56" i="3"/>
  <c r="N72" i="3"/>
  <c r="O72" i="3" s="1"/>
  <c r="C68" i="1"/>
  <c r="V33" i="3" l="1"/>
  <c r="V34" i="3" s="1"/>
  <c r="V35" i="3" s="1"/>
  <c r="D15" i="3" s="1"/>
  <c r="E37" i="3"/>
  <c r="E61" i="3" s="1"/>
  <c r="C37" i="3"/>
  <c r="C61" i="3" s="1"/>
  <c r="D37" i="3"/>
  <c r="D61" i="3" s="1"/>
  <c r="E41" i="3"/>
  <c r="E65" i="3" s="1"/>
  <c r="C41" i="3"/>
  <c r="C65" i="3" s="1"/>
  <c r="D41" i="3"/>
  <c r="D65" i="3" s="1"/>
  <c r="D49" i="3"/>
  <c r="D73" i="3" s="1"/>
  <c r="E49" i="3"/>
  <c r="E73" i="3" s="1"/>
  <c r="C49" i="3"/>
  <c r="C73" i="3" s="1"/>
  <c r="D31" i="3"/>
  <c r="D55" i="3" s="1"/>
  <c r="C31" i="3"/>
  <c r="E31" i="3"/>
  <c r="E55" i="3" s="1"/>
  <c r="D47" i="3"/>
  <c r="D71" i="3" s="1"/>
  <c r="C47" i="3"/>
  <c r="C71" i="3" s="1"/>
  <c r="E47" i="3"/>
  <c r="E71" i="3" s="1"/>
  <c r="E33" i="3"/>
  <c r="E57" i="3" s="1"/>
  <c r="C33" i="3"/>
  <c r="D33" i="3"/>
  <c r="D57" i="3" s="1"/>
  <c r="E35" i="3"/>
  <c r="E59" i="3" s="1"/>
  <c r="C35" i="3"/>
  <c r="C59" i="3" s="1"/>
  <c r="D35" i="3"/>
  <c r="D59" i="3" s="1"/>
  <c r="D43" i="3"/>
  <c r="D67" i="3" s="1"/>
  <c r="C43" i="3"/>
  <c r="C67" i="3" s="1"/>
  <c r="E43" i="3"/>
  <c r="E67" i="3" s="1"/>
  <c r="E39" i="3"/>
  <c r="E63" i="3" s="1"/>
  <c r="C39" i="3"/>
  <c r="C63" i="3" s="1"/>
  <c r="D39" i="3"/>
  <c r="D63" i="3" s="1"/>
  <c r="D45" i="3"/>
  <c r="D69" i="3" s="1"/>
  <c r="E45" i="3"/>
  <c r="E69" i="3" s="1"/>
  <c r="C45" i="3"/>
  <c r="C69" i="3" s="1"/>
  <c r="S54" i="3"/>
  <c r="O10" i="3"/>
  <c r="R10" i="3"/>
  <c r="O7" i="4"/>
  <c r="R8" i="3"/>
  <c r="O6" i="4"/>
  <c r="O8" i="3"/>
  <c r="O9" i="4"/>
  <c r="S6" i="4"/>
  <c r="T42" i="3"/>
  <c r="O14" i="4"/>
  <c r="O13" i="4"/>
  <c r="N66" i="3"/>
  <c r="O66" i="3" s="1"/>
  <c r="N64" i="3"/>
  <c r="D19" i="3"/>
  <c r="R18" i="3" s="1"/>
  <c r="D25" i="3"/>
  <c r="R24" i="3" s="1"/>
  <c r="D23" i="3"/>
  <c r="D21" i="3"/>
  <c r="O20" i="3" s="1"/>
  <c r="T34" i="3"/>
  <c r="O11" i="4"/>
  <c r="O10" i="4"/>
  <c r="N62" i="3"/>
  <c r="O62" i="3" s="1"/>
  <c r="O34" i="3"/>
  <c r="T44" i="3"/>
  <c r="N60" i="3"/>
  <c r="O60" i="3" s="1"/>
  <c r="N70" i="3"/>
  <c r="R12" i="3"/>
  <c r="O12" i="3"/>
  <c r="O8" i="4"/>
  <c r="O12" i="4"/>
  <c r="N58" i="3"/>
  <c r="K4" i="4"/>
  <c r="Y4" i="4"/>
  <c r="X4" i="4" s="1"/>
  <c r="N68" i="3"/>
  <c r="O68" i="3" s="1"/>
  <c r="T38" i="3"/>
  <c r="O56" i="3"/>
  <c r="D17" i="3" l="1"/>
  <c r="R16" i="3" s="1"/>
  <c r="R20" i="3"/>
  <c r="O16" i="3"/>
  <c r="O18" i="3"/>
  <c r="T66" i="3"/>
  <c r="U11" i="4" s="1"/>
  <c r="G85" i="1"/>
  <c r="G63" i="1" s="1"/>
  <c r="C57" i="3"/>
  <c r="T56" i="3" s="1"/>
  <c r="U6" i="4" s="1"/>
  <c r="T32" i="3"/>
  <c r="C55" i="3"/>
  <c r="T54" i="3" s="1"/>
  <c r="Q54" i="3" s="1"/>
  <c r="R54" i="3" s="1"/>
  <c r="T30" i="3"/>
  <c r="Q30" i="3"/>
  <c r="R30" i="3" s="1"/>
  <c r="Q32" i="3" s="1"/>
  <c r="T40" i="3"/>
  <c r="S7" i="4"/>
  <c r="O58" i="3"/>
  <c r="T36" i="3"/>
  <c r="T48" i="3"/>
  <c r="T46" i="3"/>
  <c r="N23" i="3"/>
  <c r="N13" i="4"/>
  <c r="N15" i="3"/>
  <c r="N9" i="4"/>
  <c r="S8" i="3"/>
  <c r="T8" i="3" s="1"/>
  <c r="T58" i="3"/>
  <c r="U7" i="4" s="1"/>
  <c r="N21" i="3"/>
  <c r="N12" i="4"/>
  <c r="N17" i="3"/>
  <c r="N10" i="4"/>
  <c r="R22" i="3"/>
  <c r="T70" i="3"/>
  <c r="U13" i="4" s="1"/>
  <c r="T72" i="3"/>
  <c r="U14" i="4" s="1"/>
  <c r="T68" i="3"/>
  <c r="U12" i="4" s="1"/>
  <c r="R14" i="3"/>
  <c r="N19" i="3"/>
  <c r="N11" i="4"/>
  <c r="P8" i="3"/>
  <c r="Q8" i="3" s="1"/>
  <c r="O70" i="3"/>
  <c r="S8" i="4"/>
  <c r="S9" i="4" s="1"/>
  <c r="S10" i="4" s="1"/>
  <c r="S11" i="4" s="1"/>
  <c r="S12" i="4" s="1"/>
  <c r="S13" i="4" s="1"/>
  <c r="S14" i="4" s="1"/>
  <c r="O64" i="3"/>
  <c r="O22" i="3"/>
  <c r="T62" i="3"/>
  <c r="U9" i="4" s="1"/>
  <c r="T64" i="3"/>
  <c r="U10" i="4" s="1"/>
  <c r="T60" i="3"/>
  <c r="U8" i="4" s="1"/>
  <c r="N25" i="3"/>
  <c r="N14" i="4"/>
  <c r="O24" i="3"/>
  <c r="O14" i="3"/>
  <c r="P30" i="3" l="1"/>
  <c r="P31" i="3" s="1"/>
  <c r="S32" i="3"/>
  <c r="R5" i="4"/>
  <c r="P54" i="3"/>
  <c r="P55" i="3" s="1"/>
  <c r="S56" i="3"/>
  <c r="Q56" i="3" s="1"/>
  <c r="R56" i="3" s="1"/>
  <c r="U5" i="4"/>
  <c r="C85" i="1"/>
  <c r="C83" i="1" s="1"/>
  <c r="C93" i="1"/>
  <c r="G16" i="4"/>
  <c r="J17" i="1"/>
  <c r="J30" i="1"/>
  <c r="G39" i="1"/>
  <c r="G41" i="1" s="1"/>
  <c r="C90" i="1"/>
  <c r="P10" i="3"/>
  <c r="Q10" i="3" s="1"/>
  <c r="P12" i="3" s="1"/>
  <c r="Q12" i="3" s="1"/>
  <c r="P14" i="3" s="1"/>
  <c r="Q14" i="3" s="1"/>
  <c r="Q6" i="4"/>
  <c r="S10" i="3"/>
  <c r="R32" i="3"/>
  <c r="P32" i="3" l="1"/>
  <c r="P33" i="3" s="1"/>
  <c r="H41" i="1"/>
  <c r="G62" i="1" s="1"/>
  <c r="J18" i="1" s="1"/>
  <c r="C89" i="1"/>
  <c r="H6" i="4"/>
  <c r="H5" i="4"/>
  <c r="M14" i="1"/>
  <c r="H17" i="4"/>
  <c r="H18" i="4" s="1"/>
  <c r="U37" i="4" s="1"/>
  <c r="I17" i="1"/>
  <c r="K17" i="1" s="1"/>
  <c r="L17" i="1" s="1"/>
  <c r="M17" i="1" s="1"/>
  <c r="C92" i="1"/>
  <c r="C58" i="1"/>
  <c r="C60" i="1" s="1"/>
  <c r="H60" i="1" s="1"/>
  <c r="C82" i="1" s="1"/>
  <c r="I36" i="1" s="1"/>
  <c r="L11" i="4" s="1"/>
  <c r="I30" i="1"/>
  <c r="L30" i="1" s="1"/>
  <c r="Q34" i="3"/>
  <c r="S34" i="3"/>
  <c r="P56" i="3"/>
  <c r="P16" i="3"/>
  <c r="Q16" i="3" s="1"/>
  <c r="R6" i="4"/>
  <c r="S58" i="3"/>
  <c r="Q58" i="3" s="1"/>
  <c r="T10" i="3"/>
  <c r="I34" i="1" l="1"/>
  <c r="L9" i="4" s="1"/>
  <c r="I33" i="1"/>
  <c r="L8" i="4" s="1"/>
  <c r="I39" i="1"/>
  <c r="L14" i="4" s="1"/>
  <c r="I31" i="1"/>
  <c r="L6" i="4" s="1"/>
  <c r="I38" i="1"/>
  <c r="L13" i="4" s="1"/>
  <c r="M30" i="1"/>
  <c r="T5" i="4" s="1"/>
  <c r="I37" i="1"/>
  <c r="L12" i="4" s="1"/>
  <c r="I32" i="1"/>
  <c r="L7" i="4" s="1"/>
  <c r="I35" i="1"/>
  <c r="L10" i="4" s="1"/>
  <c r="H3" i="4"/>
  <c r="H4" i="4"/>
  <c r="L5" i="4"/>
  <c r="U34" i="4" s="1"/>
  <c r="J38" i="1"/>
  <c r="J35" i="1"/>
  <c r="J37" i="1"/>
  <c r="J36" i="1"/>
  <c r="J33" i="1"/>
  <c r="J31" i="1"/>
  <c r="J32" i="1"/>
  <c r="J34" i="1"/>
  <c r="J39" i="1"/>
  <c r="K36" i="1"/>
  <c r="K35" i="1"/>
  <c r="K34" i="1"/>
  <c r="K33" i="1"/>
  <c r="K31" i="1"/>
  <c r="K39" i="1"/>
  <c r="K37" i="1"/>
  <c r="K38" i="1"/>
  <c r="K32" i="1"/>
  <c r="I18" i="1"/>
  <c r="I19" i="1" s="1"/>
  <c r="I20" i="1" s="1"/>
  <c r="I21" i="1" s="1"/>
  <c r="I22" i="1" s="1"/>
  <c r="I23" i="1" s="1"/>
  <c r="I24" i="1" s="1"/>
  <c r="I25" i="1" s="1"/>
  <c r="I26" i="1" s="1"/>
  <c r="J19" i="1"/>
  <c r="P57" i="3"/>
  <c r="R34" i="3"/>
  <c r="P18" i="3"/>
  <c r="Q18" i="3" s="1"/>
  <c r="P20" i="3" s="1"/>
  <c r="Q20" i="3" s="1"/>
  <c r="Q7" i="4"/>
  <c r="S12" i="3"/>
  <c r="R58" i="3"/>
  <c r="P58" i="3" s="1"/>
  <c r="K18" i="1" l="1"/>
  <c r="L34" i="1"/>
  <c r="L31" i="1"/>
  <c r="L36" i="1"/>
  <c r="L35" i="1"/>
  <c r="N30" i="1"/>
  <c r="P5" i="4" s="1"/>
  <c r="V5" i="4" s="1"/>
  <c r="J20" i="1"/>
  <c r="K19" i="1"/>
  <c r="L39" i="1"/>
  <c r="L32" i="1"/>
  <c r="L33" i="1"/>
  <c r="L37" i="1"/>
  <c r="L38" i="1"/>
  <c r="M5" i="4"/>
  <c r="G44" i="6"/>
  <c r="P59" i="3"/>
  <c r="Q36" i="3"/>
  <c r="S36" i="3"/>
  <c r="P34" i="3"/>
  <c r="P22" i="3"/>
  <c r="Q22" i="3" s="1"/>
  <c r="P24" i="3" s="1"/>
  <c r="Q24" i="3" s="1"/>
  <c r="R7" i="4"/>
  <c r="S60" i="3"/>
  <c r="Q60" i="3" s="1"/>
  <c r="T12" i="3"/>
  <c r="U35" i="4" l="1"/>
  <c r="U32" i="4"/>
  <c r="U33" i="4"/>
  <c r="G13" i="6"/>
  <c r="G41" i="6" s="1"/>
  <c r="K5" i="4"/>
  <c r="Y5" i="4"/>
  <c r="X5" i="4" s="1"/>
  <c r="U31" i="4" s="1"/>
  <c r="K20" i="1"/>
  <c r="J21" i="1"/>
  <c r="M31" i="1"/>
  <c r="T6" i="4" s="1"/>
  <c r="M6" i="4" s="1"/>
  <c r="U36" i="4" s="1"/>
  <c r="L18" i="1"/>
  <c r="M18" i="1" s="1"/>
  <c r="L19" i="1" s="1"/>
  <c r="M19" i="1" s="1"/>
  <c r="R36" i="3"/>
  <c r="P36" i="3" s="1"/>
  <c r="R60" i="3"/>
  <c r="Q8" i="4"/>
  <c r="S14" i="3"/>
  <c r="P35" i="3"/>
  <c r="N31" i="1" l="1"/>
  <c r="K21" i="1"/>
  <c r="J22" i="1"/>
  <c r="G6" i="6"/>
  <c r="G9" i="6" s="1"/>
  <c r="G38" i="6" s="1"/>
  <c r="U25" i="4" s="1"/>
  <c r="U27" i="4"/>
  <c r="U29" i="4" s="1"/>
  <c r="G45" i="6"/>
  <c r="G39" i="6"/>
  <c r="L20" i="1"/>
  <c r="M20" i="1" s="1"/>
  <c r="P37" i="3"/>
  <c r="S38" i="3"/>
  <c r="Q38" i="3"/>
  <c r="T14" i="3"/>
  <c r="R8" i="4"/>
  <c r="S62" i="3"/>
  <c r="Q62" i="3" s="1"/>
  <c r="P60" i="3"/>
  <c r="L21" i="1" l="1"/>
  <c r="M21" i="1" s="1"/>
  <c r="K22" i="1"/>
  <c r="J23" i="1"/>
  <c r="P6" i="4"/>
  <c r="V6" i="4" s="1"/>
  <c r="M32" i="1"/>
  <c r="P61" i="3"/>
  <c r="R62" i="3"/>
  <c r="P62" i="3" s="1"/>
  <c r="Q9" i="4"/>
  <c r="S16" i="3"/>
  <c r="R38" i="3"/>
  <c r="L22" i="1" l="1"/>
  <c r="M22" i="1" s="1"/>
  <c r="T7" i="4"/>
  <c r="M7" i="4" s="1"/>
  <c r="N32" i="1"/>
  <c r="J24" i="1"/>
  <c r="K23" i="1"/>
  <c r="K6" i="4"/>
  <c r="Y6" i="4"/>
  <c r="X6" i="4" s="1"/>
  <c r="P63" i="3"/>
  <c r="T16" i="3"/>
  <c r="P38" i="3"/>
  <c r="S40" i="3"/>
  <c r="Q40" i="3"/>
  <c r="R9" i="4"/>
  <c r="S64" i="3"/>
  <c r="Q64" i="3" s="1"/>
  <c r="L23" i="1" l="1"/>
  <c r="M23" i="1" s="1"/>
  <c r="M33" i="1"/>
  <c r="P7" i="4"/>
  <c r="V7" i="4" s="1"/>
  <c r="J25" i="1"/>
  <c r="K24" i="1"/>
  <c r="Q10" i="4"/>
  <c r="S18" i="3"/>
  <c r="P39" i="3"/>
  <c r="R40" i="3"/>
  <c r="R64" i="3"/>
  <c r="L24" i="1" l="1"/>
  <c r="M24" i="1" s="1"/>
  <c r="Y7" i="4"/>
  <c r="X7" i="4" s="1"/>
  <c r="K7" i="4"/>
  <c r="J26" i="1"/>
  <c r="K26" i="1" s="1"/>
  <c r="K25" i="1"/>
  <c r="T8" i="4"/>
  <c r="M8" i="4" s="1"/>
  <c r="N33" i="1"/>
  <c r="S42" i="3"/>
  <c r="Q42" i="3"/>
  <c r="T18" i="3"/>
  <c r="R10" i="4"/>
  <c r="S66" i="3"/>
  <c r="Q66" i="3" s="1"/>
  <c r="P64" i="3"/>
  <c r="P40" i="3"/>
  <c r="L25" i="1" l="1"/>
  <c r="M25" i="1" s="1"/>
  <c r="L26" i="1" s="1"/>
  <c r="M26" i="1" s="1"/>
  <c r="P8" i="4"/>
  <c r="V8" i="4" s="1"/>
  <c r="M34" i="1"/>
  <c r="R66" i="3"/>
  <c r="Q11" i="4"/>
  <c r="S20" i="3"/>
  <c r="P41" i="3"/>
  <c r="P65" i="3"/>
  <c r="R42" i="3"/>
  <c r="P42" i="3" s="1"/>
  <c r="N34" i="1" l="1"/>
  <c r="T9" i="4"/>
  <c r="M9" i="4" s="1"/>
  <c r="K8" i="4"/>
  <c r="Y8" i="4"/>
  <c r="X8" i="4" s="1"/>
  <c r="P43" i="3"/>
  <c r="R11" i="4"/>
  <c r="S68" i="3"/>
  <c r="Q68" i="3" s="1"/>
  <c r="T20" i="3"/>
  <c r="P66" i="3"/>
  <c r="Q44" i="3"/>
  <c r="S44" i="3"/>
  <c r="P9" i="4" l="1"/>
  <c r="V9" i="4" s="1"/>
  <c r="M35" i="1"/>
  <c r="Q12" i="4"/>
  <c r="S22" i="3"/>
  <c r="R44" i="3"/>
  <c r="P67" i="3"/>
  <c r="R68" i="3"/>
  <c r="P68" i="3" s="1"/>
  <c r="P69" i="3" s="1"/>
  <c r="T10" i="4" l="1"/>
  <c r="M10" i="4" s="1"/>
  <c r="N35" i="1"/>
  <c r="Y9" i="4"/>
  <c r="X9" i="4" s="1"/>
  <c r="K9" i="4"/>
  <c r="S46" i="3"/>
  <c r="P44" i="3"/>
  <c r="Q46" i="3"/>
  <c r="R12" i="4"/>
  <c r="S70" i="3"/>
  <c r="Q70" i="3" s="1"/>
  <c r="T22" i="3"/>
  <c r="M36" i="1" l="1"/>
  <c r="P10" i="4"/>
  <c r="V10" i="4" s="1"/>
  <c r="R46" i="3"/>
  <c r="P46" i="3" s="1"/>
  <c r="R70" i="3"/>
  <c r="Q13" i="4"/>
  <c r="S24" i="3"/>
  <c r="P45" i="3"/>
  <c r="T11" i="4" l="1"/>
  <c r="M11" i="4" s="1"/>
  <c r="N36" i="1"/>
  <c r="K10" i="4"/>
  <c r="Y10" i="4"/>
  <c r="X10" i="4" s="1"/>
  <c r="P47" i="3"/>
  <c r="R13" i="4"/>
  <c r="S72" i="3"/>
  <c r="Q72" i="3" s="1"/>
  <c r="P70" i="3"/>
  <c r="T24" i="3"/>
  <c r="Q14" i="4" s="1"/>
  <c r="Q48" i="3"/>
  <c r="S48" i="3"/>
  <c r="M37" i="1" l="1"/>
  <c r="P11" i="4"/>
  <c r="V11" i="4" s="1"/>
  <c r="R48" i="3"/>
  <c r="P48" i="3" s="1"/>
  <c r="P49" i="3" s="1"/>
  <c r="P71" i="3"/>
  <c r="R72" i="3"/>
  <c r="R14" i="4" s="1"/>
  <c r="T12" i="4" l="1"/>
  <c r="M12" i="4" s="1"/>
  <c r="N37" i="1"/>
  <c r="Y11" i="4"/>
  <c r="X11" i="4" s="1"/>
  <c r="K11" i="4"/>
  <c r="P72" i="3"/>
  <c r="P73" i="3" s="1"/>
  <c r="M38" i="1" l="1"/>
  <c r="P12" i="4"/>
  <c r="V12" i="4" s="1"/>
  <c r="T13" i="4" l="1"/>
  <c r="M13" i="4" s="1"/>
  <c r="N38" i="1"/>
  <c r="Y12" i="4"/>
  <c r="X12" i="4" s="1"/>
  <c r="K12" i="4"/>
  <c r="P13" i="4" l="1"/>
  <c r="V13" i="4" s="1"/>
  <c r="M39" i="1"/>
  <c r="Y13" i="4" l="1"/>
  <c r="X13" i="4" s="1"/>
  <c r="K13" i="4"/>
  <c r="T14" i="4"/>
  <c r="M14" i="4" s="1"/>
  <c r="N39" i="1"/>
  <c r="P14" i="4" s="1"/>
  <c r="V14" i="4" s="1"/>
  <c r="K14" i="4" l="1"/>
  <c r="Y14" i="4"/>
  <c r="X14" i="4" s="1"/>
</calcChain>
</file>

<file path=xl/comments1.xml><?xml version="1.0" encoding="utf-8"?>
<comments xmlns="http://schemas.openxmlformats.org/spreadsheetml/2006/main">
  <authors>
    <author>Jan van der Lei</author>
  </authors>
  <commentList>
    <comment ref="Z12" authorId="0">
      <text>
        <r>
          <rPr>
            <b/>
            <sz val="9"/>
            <color indexed="81"/>
            <rFont val="Tahoma"/>
            <family val="2"/>
          </rPr>
          <t>Handmatige bijstelling rentestijging</t>
        </r>
      </text>
    </comment>
    <comment ref="Z13" authorId="0">
      <text>
        <r>
          <rPr>
            <b/>
            <sz val="9"/>
            <color indexed="81"/>
            <rFont val="Tahoma"/>
            <family val="2"/>
          </rPr>
          <t>Handmatige bijstelling rentestijging</t>
        </r>
      </text>
    </comment>
    <comment ref="Z14" authorId="0">
      <text>
        <r>
          <rPr>
            <b/>
            <sz val="9"/>
            <color indexed="81"/>
            <rFont val="Tahoma"/>
            <family val="2"/>
          </rPr>
          <t>Handmatige bijstelling rentestijging</t>
        </r>
      </text>
    </comment>
    <comment ref="Z19" authorId="0">
      <text>
        <r>
          <rPr>
            <b/>
            <sz val="9"/>
            <color indexed="81"/>
            <rFont val="Tahoma"/>
            <family val="2"/>
          </rPr>
          <t>Handmatige bijstelling investeringsruimte</t>
        </r>
      </text>
    </comment>
  </commentList>
</comments>
</file>

<file path=xl/comments2.xml><?xml version="1.0" encoding="utf-8"?>
<comments xmlns="http://schemas.openxmlformats.org/spreadsheetml/2006/main">
  <authors>
    <author>Jan van der Lei</author>
  </authors>
  <commentList>
    <comment ref="Z1" authorId="0">
      <text>
        <r>
          <rPr>
            <b/>
            <sz val="9"/>
            <color indexed="81"/>
            <rFont val="Tahoma"/>
            <charset val="1"/>
          </rPr>
          <t>Jan van der Lei:</t>
        </r>
        <r>
          <rPr>
            <sz val="9"/>
            <color indexed="81"/>
            <rFont val="Tahoma"/>
            <charset val="1"/>
          </rPr>
          <t xml:space="preserve">
Bron: DNB gemiddelde rente tien jaars staatslening.</t>
        </r>
      </text>
    </comment>
    <comment ref="AA1" authorId="0">
      <text>
        <r>
          <rPr>
            <sz val="9"/>
            <color indexed="81"/>
            <rFont val="Tahoma"/>
            <family val="2"/>
          </rPr>
          <t>spread in overeenkomst BNG is 0,35% -  0,4% t.o.v. Euribor.</t>
        </r>
      </text>
    </comment>
  </commentList>
</comments>
</file>

<file path=xl/comments3.xml><?xml version="1.0" encoding="utf-8"?>
<comments xmlns="http://schemas.openxmlformats.org/spreadsheetml/2006/main">
  <authors>
    <author>Jan van der Lei</author>
  </authors>
  <commentList>
    <comment ref="N13" authorId="0">
      <text>
        <r>
          <rPr>
            <b/>
            <sz val="9"/>
            <color indexed="81"/>
            <rFont val="Tahoma"/>
            <family val="2"/>
          </rPr>
          <t>Jan van der Lei:</t>
        </r>
        <r>
          <rPr>
            <sz val="9"/>
            <color indexed="81"/>
            <rFont val="Tahoma"/>
            <family val="2"/>
          </rPr>
          <t xml:space="preserve">
Invulling inkomstenverhoging 1 / 5 deel belastingverhoging per jaar i.v.m. noemereffect schuldquote.</t>
        </r>
      </text>
    </comment>
    <comment ref="M14" authorId="0">
      <text>
        <r>
          <rPr>
            <sz val="9"/>
            <color indexed="81"/>
            <rFont val="Tahoma"/>
            <family val="2"/>
          </rPr>
          <t>Jan van der Lei: Hierin zitten meegenomen taakwijzigingen.</t>
        </r>
      </text>
    </comment>
    <comment ref="K31" authorId="0">
      <text>
        <r>
          <rPr>
            <b/>
            <sz val="9"/>
            <color indexed="81"/>
            <rFont val="Tahoma"/>
            <family val="2"/>
          </rPr>
          <t>Jan van der Lei:</t>
        </r>
        <r>
          <rPr>
            <sz val="9"/>
            <color indexed="81"/>
            <rFont val="Tahoma"/>
            <family val="2"/>
          </rPr>
          <t xml:space="preserve">
Boven 0,5 ombuigingspotentieel correctie voor opplussen inkomsten met benutting belastingcapaciteit. </t>
        </r>
      </text>
    </comment>
    <comment ref="H41" authorId="0">
      <text>
        <r>
          <rPr>
            <b/>
            <sz val="9"/>
            <color indexed="81"/>
            <rFont val="Tahoma"/>
            <family val="2"/>
          </rPr>
          <t xml:space="preserve">correctie voor berekening juiste groeipercentage uitgaven </t>
        </r>
      </text>
    </comment>
    <comment ref="H60" authorId="0">
      <text>
        <r>
          <rPr>
            <b/>
            <sz val="9"/>
            <color indexed="81"/>
            <rFont val="Tahoma"/>
            <family val="2"/>
          </rPr>
          <t>correctie voor berekening juiste groeipercentage inkomsten</t>
        </r>
      </text>
    </comment>
  </commentList>
</comments>
</file>

<file path=xl/comments4.xml><?xml version="1.0" encoding="utf-8"?>
<comments xmlns="http://schemas.openxmlformats.org/spreadsheetml/2006/main">
  <authors>
    <author>Jan van der Lei</author>
  </authors>
  <commentList>
    <comment ref="I1" authorId="0">
      <text>
        <r>
          <rPr>
            <b/>
            <sz val="9"/>
            <color indexed="81"/>
            <rFont val="Tahoma"/>
            <charset val="1"/>
          </rPr>
          <t>Jan van der Lei:</t>
        </r>
        <r>
          <rPr>
            <sz val="9"/>
            <color indexed="81"/>
            <rFont val="Tahoma"/>
            <charset val="1"/>
          </rPr>
          <t xml:space="preserve">
vreemde getallen BZK rij nog vervangen</t>
        </r>
      </text>
    </comment>
    <comment ref="E12" authorId="0">
      <text>
        <r>
          <rPr>
            <b/>
            <sz val="9"/>
            <color indexed="81"/>
            <rFont val="Tahoma"/>
            <family val="2"/>
          </rPr>
          <t>Jan van der Lei:</t>
        </r>
        <r>
          <rPr>
            <sz val="9"/>
            <color indexed="81"/>
            <rFont val="Tahoma"/>
            <family val="2"/>
          </rPr>
          <t xml:space="preserve">
A a/d R + Bosk + Rijnw</t>
        </r>
      </text>
    </comment>
    <comment ref="K17" authorId="0">
      <text>
        <r>
          <rPr>
            <sz val="9"/>
            <color indexed="81"/>
            <rFont val="Tahoma"/>
            <charset val="1"/>
          </rPr>
          <t xml:space="preserve">G4 afwijkend 185 per inwoner.
</t>
        </r>
      </text>
    </comment>
    <comment ref="E71" authorId="0">
      <text>
        <r>
          <rPr>
            <b/>
            <sz val="9"/>
            <color indexed="81"/>
            <rFont val="Tahoma"/>
            <family val="2"/>
          </rPr>
          <t>Jan van der Lei:</t>
        </r>
        <r>
          <rPr>
            <sz val="9"/>
            <color indexed="81"/>
            <rFont val="Tahoma"/>
            <family val="2"/>
          </rPr>
          <t xml:space="preserve">
115336000+ bh 2205464
</t>
        </r>
      </text>
    </comment>
    <comment ref="Q71" authorId="0">
      <text>
        <r>
          <rPr>
            <b/>
            <sz val="9"/>
            <color indexed="81"/>
            <rFont val="Tahoma"/>
            <family val="2"/>
          </rPr>
          <t>Jan van der Lei:</t>
        </r>
        <r>
          <rPr>
            <sz val="9"/>
            <color indexed="81"/>
            <rFont val="Tahoma"/>
            <family val="2"/>
          </rPr>
          <t xml:space="preserve">
125288000 + BH
   1980660</t>
        </r>
      </text>
    </comment>
    <comment ref="E141" authorId="0">
      <text>
        <r>
          <rPr>
            <b/>
            <sz val="9"/>
            <color indexed="81"/>
            <rFont val="Tahoma"/>
            <family val="2"/>
          </rPr>
          <t>Jan van der Lei:</t>
        </r>
        <r>
          <rPr>
            <sz val="9"/>
            <color indexed="81"/>
            <rFont val="Tahoma"/>
            <family val="2"/>
          </rPr>
          <t xml:space="preserve">
134059000 + BH
  16048500 </t>
        </r>
      </text>
    </comment>
    <comment ref="Q141" authorId="0">
      <text>
        <r>
          <rPr>
            <b/>
            <sz val="9"/>
            <color indexed="81"/>
            <rFont val="Tahoma"/>
            <family val="2"/>
          </rPr>
          <t>Jan van der Lei:</t>
        </r>
        <r>
          <rPr>
            <sz val="9"/>
            <color indexed="81"/>
            <rFont val="Tahoma"/>
            <family val="2"/>
          </rPr>
          <t xml:space="preserve">
135572000 + BH
  14412665</t>
        </r>
      </text>
    </comment>
    <comment ref="E186" authorId="0">
      <text>
        <r>
          <rPr>
            <b/>
            <sz val="9"/>
            <color indexed="81"/>
            <rFont val="Tahoma"/>
            <family val="2"/>
          </rPr>
          <t>Jan van der Lei:</t>
        </r>
        <r>
          <rPr>
            <sz val="9"/>
            <color indexed="81"/>
            <rFont val="Tahoma"/>
            <family val="2"/>
          </rPr>
          <t xml:space="preserve">
372869000 + BH
  29158165</t>
        </r>
      </text>
    </comment>
    <comment ref="Q186" authorId="0">
      <text>
        <r>
          <rPr>
            <b/>
            <sz val="9"/>
            <color indexed="81"/>
            <rFont val="Tahoma"/>
            <family val="2"/>
          </rPr>
          <t>Jan van der Lei:</t>
        </r>
        <r>
          <rPr>
            <sz val="9"/>
            <color indexed="81"/>
            <rFont val="Tahoma"/>
            <family val="2"/>
          </rPr>
          <t xml:space="preserve">
374401000 + BH
  26186052</t>
        </r>
      </text>
    </comment>
    <comment ref="K281" authorId="0">
      <text>
        <r>
          <rPr>
            <b/>
            <sz val="9"/>
            <color indexed="81"/>
            <rFont val="Tahoma"/>
            <charset val="1"/>
          </rPr>
          <t>G4 afwijkend 185 per inwoner.</t>
        </r>
      </text>
    </comment>
    <comment ref="K291" authorId="0">
      <text>
        <r>
          <rPr>
            <b/>
            <sz val="9"/>
            <color indexed="81"/>
            <rFont val="Tahoma"/>
            <charset val="1"/>
          </rPr>
          <t>G4 afwijkend 185 per inwoner.</t>
        </r>
      </text>
    </comment>
    <comment ref="E313" authorId="0">
      <text>
        <r>
          <rPr>
            <b/>
            <sz val="9"/>
            <color indexed="81"/>
            <rFont val="Tahoma"/>
            <family val="2"/>
          </rPr>
          <t>Jan van der Lei:</t>
        </r>
        <r>
          <rPr>
            <sz val="9"/>
            <color indexed="81"/>
            <rFont val="Tahoma"/>
            <family val="2"/>
          </rPr>
          <t xml:space="preserve">
208361000 + BH
    4485871</t>
        </r>
      </text>
    </comment>
    <comment ref="Q313" authorId="0">
      <text>
        <r>
          <rPr>
            <b/>
            <sz val="9"/>
            <color indexed="81"/>
            <rFont val="Tahoma"/>
            <family val="2"/>
          </rPr>
          <t>Jan van der Lei:</t>
        </r>
        <r>
          <rPr>
            <sz val="9"/>
            <color indexed="81"/>
            <rFont val="Tahoma"/>
            <family val="2"/>
          </rPr>
          <t xml:space="preserve">
219304000 + BH
   4028623</t>
        </r>
      </text>
    </comment>
    <comment ref="K330" authorId="0">
      <text>
        <r>
          <rPr>
            <b/>
            <sz val="9"/>
            <color indexed="81"/>
            <rFont val="Tahoma"/>
            <charset val="1"/>
          </rPr>
          <t xml:space="preserve">G4 afwijkend 185 per inwoner. </t>
        </r>
      </text>
    </comment>
  </commentList>
</comments>
</file>

<file path=xl/comments5.xml><?xml version="1.0" encoding="utf-8"?>
<comments xmlns="http://schemas.openxmlformats.org/spreadsheetml/2006/main">
  <authors>
    <author>Jan van der Lei</author>
  </authors>
  <commentList>
    <comment ref="J1" authorId="0">
      <text>
        <r>
          <rPr>
            <b/>
            <sz val="9"/>
            <color indexed="81"/>
            <rFont val="Tahoma"/>
            <family val="2"/>
          </rPr>
          <t>Jan van der Lei:</t>
        </r>
        <r>
          <rPr>
            <sz val="9"/>
            <color indexed="81"/>
            <rFont val="Tahoma"/>
            <family val="2"/>
          </rPr>
          <t xml:space="preserve">
begrotingcijfers CBS</t>
        </r>
      </text>
    </comment>
    <comment ref="K1" authorId="0">
      <text>
        <r>
          <rPr>
            <b/>
            <sz val="9"/>
            <color indexed="81"/>
            <rFont val="Tahoma"/>
            <family val="2"/>
          </rPr>
          <t>Jan van der Lei:</t>
        </r>
        <r>
          <rPr>
            <sz val="9"/>
            <color indexed="81"/>
            <rFont val="Tahoma"/>
            <family val="2"/>
          </rPr>
          <t xml:space="preserve">
Begrotingcijfers CBS</t>
        </r>
      </text>
    </comment>
    <comment ref="N141" authorId="0">
      <text>
        <r>
          <rPr>
            <b/>
            <sz val="9"/>
            <color indexed="81"/>
            <rFont val="Tahoma"/>
            <family val="2"/>
          </rPr>
          <t>Jan van der Lei:</t>
        </r>
        <r>
          <rPr>
            <sz val="9"/>
            <color indexed="81"/>
            <rFont val="Tahoma"/>
            <family val="2"/>
          </rPr>
          <t xml:space="preserve">
5742494 + BH
578572</t>
        </r>
      </text>
    </comment>
  </commentList>
</comments>
</file>

<file path=xl/sharedStrings.xml><?xml version="1.0" encoding="utf-8"?>
<sst xmlns="http://schemas.openxmlformats.org/spreadsheetml/2006/main" count="2981" uniqueCount="831">
  <si>
    <t>Groeivoeten</t>
  </si>
  <si>
    <t>Inflatie</t>
  </si>
  <si>
    <t>Economische groei</t>
  </si>
  <si>
    <t>Loonstijging</t>
  </si>
  <si>
    <t>Rente</t>
  </si>
  <si>
    <t>a.</t>
  </si>
  <si>
    <t>b.</t>
  </si>
  <si>
    <t>c.</t>
  </si>
  <si>
    <t>Totaal a.</t>
  </si>
  <si>
    <t>Totaal b.</t>
  </si>
  <si>
    <t>Totaal c.</t>
  </si>
  <si>
    <t>d.</t>
  </si>
  <si>
    <t>Totaal d.</t>
  </si>
  <si>
    <t>e.</t>
  </si>
  <si>
    <t>Totaal e.</t>
  </si>
  <si>
    <t>f.</t>
  </si>
  <si>
    <t>g.</t>
  </si>
  <si>
    <t>Totaal f.</t>
  </si>
  <si>
    <t>Totaal g.</t>
  </si>
  <si>
    <t>Groei inwoners Nederland</t>
  </si>
  <si>
    <t>Groeivoet totale inkomsten</t>
  </si>
  <si>
    <t>Groeivoet totale uitgaven</t>
  </si>
  <si>
    <t>Totale uitgaven exclusief investeringen, afschrijvingen en rente</t>
  </si>
  <si>
    <t>h.</t>
  </si>
  <si>
    <t>Totaal h.</t>
  </si>
  <si>
    <t>Inkomsten</t>
  </si>
  <si>
    <t>Jaar</t>
  </si>
  <si>
    <t>Uitgaven</t>
  </si>
  <si>
    <t>Groei inwoners gemeente</t>
  </si>
  <si>
    <t>Rente 10 jaar lening</t>
  </si>
  <si>
    <t>Kapitaalverstrekkingen</t>
  </si>
  <si>
    <t>Overige voorraden</t>
  </si>
  <si>
    <t>Overlopende activa</t>
  </si>
  <si>
    <t>Overlopende passiva</t>
  </si>
  <si>
    <t>Slechtweerscenario</t>
  </si>
  <si>
    <t>Kortlopende schuld</t>
  </si>
  <si>
    <t xml:space="preserve">Rente 1 jaarslening </t>
  </si>
  <si>
    <t>Investering 2015</t>
  </si>
  <si>
    <t>Investering 2019</t>
  </si>
  <si>
    <t>Investering 2020</t>
  </si>
  <si>
    <t>Investering 2021</t>
  </si>
  <si>
    <t>Investering 2022</t>
  </si>
  <si>
    <t xml:space="preserve">Rente doorgeleend geld </t>
  </si>
  <si>
    <t>Crediteuren</t>
  </si>
  <si>
    <t>Leningen aan verbonden partijen oud</t>
  </si>
  <si>
    <t>Langlopende leningen derden oud</t>
  </si>
  <si>
    <t>Langlopende uitzettingen oud</t>
  </si>
  <si>
    <t>Onderhandse leningen oud</t>
  </si>
  <si>
    <t>Overige vaste schuld oud</t>
  </si>
  <si>
    <t>Aflossing 2018</t>
  </si>
  <si>
    <t xml:space="preserve">Gemiddeld rentepercentage restant 2019 </t>
  </si>
  <si>
    <t>Gemiddeld rentepercentage restant 2022</t>
  </si>
  <si>
    <t>Rente liquide middelen</t>
  </si>
  <si>
    <t>Leningen derden nieuw</t>
  </si>
  <si>
    <t>Herfinanciering nieuw</t>
  </si>
  <si>
    <t xml:space="preserve">Netto financiering </t>
  </si>
  <si>
    <t>Rente financiering</t>
  </si>
  <si>
    <t>Aflossing 2022</t>
  </si>
  <si>
    <t>Percentage</t>
  </si>
  <si>
    <t>Afschrijving leningen derden</t>
  </si>
  <si>
    <t xml:space="preserve">Afschrijving leningen verbonden partijen </t>
  </si>
  <si>
    <t>Ombuigingen</t>
  </si>
  <si>
    <t>Financieringsresultaat exploitatie normaal</t>
  </si>
  <si>
    <t>Financieringsresultaat exploitatie met schok</t>
  </si>
  <si>
    <t>Netto financieringsresultaat</t>
  </si>
  <si>
    <t xml:space="preserve">Ombuigingsrelevante uitgaven </t>
  </si>
  <si>
    <t>Ombuigingspotentieel</t>
  </si>
  <si>
    <t xml:space="preserve">Effectiviteit pol.&amp; org. </t>
  </si>
  <si>
    <t>Financieringsresultaat expl.</t>
  </si>
  <si>
    <t>Netto financiering</t>
  </si>
  <si>
    <t>Opbrengst verkoop 2015</t>
  </si>
  <si>
    <t>Opbrengst verkoop 2016</t>
  </si>
  <si>
    <t>Opbrengst verkoop 2017</t>
  </si>
  <si>
    <t>Opbrengst verkoop 2018</t>
  </si>
  <si>
    <t>Opbrengst verkoop 2019</t>
  </si>
  <si>
    <t>Opbrengst verkoop 2020</t>
  </si>
  <si>
    <t>Opbrengst verkoop 2021</t>
  </si>
  <si>
    <t>Opbrengst verkoop 2022</t>
  </si>
  <si>
    <t>Bouwgrond &amp; onderhanden werk</t>
  </si>
  <si>
    <t>Balans netto financiering en financieringsresultaat met schok</t>
  </si>
  <si>
    <t>Netto schuldquote</t>
  </si>
  <si>
    <t>Doorgeleend geld</t>
  </si>
  <si>
    <t>Financiering bezit normaal</t>
  </si>
  <si>
    <t>Financiering bezit met schok</t>
  </si>
  <si>
    <t>Fin.result.financiering</t>
  </si>
  <si>
    <t>Fin.result.bezit</t>
  </si>
  <si>
    <t xml:space="preserve">Rente nieuw doorgeleend geld </t>
  </si>
  <si>
    <t>Groei inwoners Ned.</t>
  </si>
  <si>
    <t xml:space="preserve">Groei inwoners gemeente </t>
  </si>
  <si>
    <t>Fin.expl.</t>
  </si>
  <si>
    <t>Fin.bezit</t>
  </si>
  <si>
    <t xml:space="preserve">Fin.finan. </t>
  </si>
  <si>
    <t xml:space="preserve">Inwonergevoeligheid Alg.Uitk. </t>
  </si>
  <si>
    <t>©</t>
  </si>
  <si>
    <t>Reele groei budget HH</t>
  </si>
  <si>
    <t>Groei bedrijfsvestigingen</t>
  </si>
  <si>
    <t>Onroerende zaak belasting bedrijfsgebouwen</t>
  </si>
  <si>
    <t>Algemene uitkering</t>
  </si>
  <si>
    <t>Onroerende zaak belasting woningen</t>
  </si>
  <si>
    <t>Afvalstoffenheffing</t>
  </si>
  <si>
    <t>Rioolheffing</t>
  </si>
  <si>
    <t>Forensenbelasting</t>
  </si>
  <si>
    <t>Uitkeringen bijstand</t>
  </si>
  <si>
    <t>Bijzondere bijstand</t>
  </si>
  <si>
    <t>Sociale werkvoorziening</t>
  </si>
  <si>
    <t>Integratieuitkering wmo</t>
  </si>
  <si>
    <t>Secretarieleges</t>
  </si>
  <si>
    <t>Bouwleges</t>
  </si>
  <si>
    <t>Grafrechten</t>
  </si>
  <si>
    <t>i.</t>
  </si>
  <si>
    <t>Totaal i.</t>
  </si>
  <si>
    <t>Toeristenbelasting</t>
  </si>
  <si>
    <t>Marktgelden</t>
  </si>
  <si>
    <t>Sportcomplexen</t>
  </si>
  <si>
    <t>Hondenbelasting</t>
  </si>
  <si>
    <t xml:space="preserve">Eigen bijdrage huishoudelijke hulp </t>
  </si>
  <si>
    <t>Reinigingsrechten</t>
  </si>
  <si>
    <t>Loonkosten</t>
  </si>
  <si>
    <t>Onttrekking voorziening personeelslasten</t>
  </si>
  <si>
    <t>Uitgaven huishoudelijke hulp</t>
  </si>
  <si>
    <t>Groei inkomsten is gelijk aan inflatie &amp; groei budget HH &amp; relatieve groei inwoners</t>
  </si>
  <si>
    <t xml:space="preserve">Groei inkomsten is gelijk aan inflatie &amp; economische groei &amp; groei bedrijfsvestigingen </t>
  </si>
  <si>
    <t xml:space="preserve">Groei inkomsten is gelijk aan 0,2 * inflatie &amp; 0,8 * loonstijging &amp; groei inwoners </t>
  </si>
  <si>
    <t xml:space="preserve">Groei inkomsten is gelijk aan inflatie &amp; economische groei </t>
  </si>
  <si>
    <t xml:space="preserve">Groei inkomsten is gelijk aan inflatie &amp; groei inwoners  </t>
  </si>
  <si>
    <t>Groei inkomsten is gelijk aan loonstijging &amp; groei inwoners</t>
  </si>
  <si>
    <t>Groei inkomsten is gelijk aan 0,5 * inflatie &amp; 0,5 * loonstijging &amp; groei inwoners</t>
  </si>
  <si>
    <t>Groei uitgaven is gelijk aan 0,5 * inflatie &amp; 0,5 * loonstijging &amp; groei inwoners</t>
  </si>
  <si>
    <t xml:space="preserve">Groei uitgaven is gelijk aan inflatie &amp; groei budget HH &amp; groei inwoners </t>
  </si>
  <si>
    <t xml:space="preserve">Groei uitgaven is gelijk aan 0,2 * inflatie &amp; 0,8 * loonstijging &amp; groei inwoners </t>
  </si>
  <si>
    <t>Brandweer en rampenbestrijding</t>
  </si>
  <si>
    <t>Riolering</t>
  </si>
  <si>
    <t>Groei uitgaven is gelijk aan inflatie &amp; groei inwoners</t>
  </si>
  <si>
    <t>Afvalverwijdering</t>
  </si>
  <si>
    <t>Verstrekkingen gehandicapten (rolstoelen, woningaanpassing, vervoer)</t>
  </si>
  <si>
    <t>Subsidies sportverenigingen</t>
  </si>
  <si>
    <t>Bibliotheek, musea, vormings en ontwikkelingswerk</t>
  </si>
  <si>
    <t>Energie</t>
  </si>
  <si>
    <t>Specifieke uitkeringen onderwijs</t>
  </si>
  <si>
    <t>Overige vergunningen</t>
  </si>
  <si>
    <t xml:space="preserve">Groei uitgaven is gelijk aan inflatie &amp; economische groei </t>
  </si>
  <si>
    <t>Uitkeringen bijstand inclusief BBZ</t>
  </si>
  <si>
    <t>Uitleenquote</t>
  </si>
  <si>
    <t>Voorraadquote</t>
  </si>
  <si>
    <t>Solvabiliteitsratio</t>
  </si>
  <si>
    <t>Inwoners</t>
  </si>
  <si>
    <t>Gemeente</t>
  </si>
  <si>
    <t>Ombuiging investeringen (im)materiële activa</t>
  </si>
  <si>
    <r>
      <t xml:space="preserve">Inkomsten uit gewone exploitatie </t>
    </r>
    <r>
      <rPr>
        <sz val="10"/>
        <color theme="1"/>
        <rFont val="Arial"/>
        <family val="2"/>
      </rPr>
      <t>(exclusief rente en voor bestemming reserves)</t>
    </r>
  </si>
  <si>
    <r>
      <t xml:space="preserve">Uitgaven uit gewone exploitatie </t>
    </r>
    <r>
      <rPr>
        <sz val="10"/>
        <color theme="1"/>
        <rFont val="Arial"/>
        <family val="2"/>
      </rPr>
      <t>(exclusief afschrijvingen, rente en voor bestemming reserves)</t>
    </r>
  </si>
  <si>
    <t>Reële groei budget HH</t>
  </si>
  <si>
    <t>Schuldratio</t>
  </si>
  <si>
    <t>Inflatie CPI</t>
  </si>
  <si>
    <t>Prijspeil BBP</t>
  </si>
  <si>
    <t>Inwonergevoeligheid Alg.Uitk.</t>
  </si>
  <si>
    <t xml:space="preserve">In euro </t>
  </si>
  <si>
    <t>Huren &amp; pachten</t>
  </si>
  <si>
    <t xml:space="preserve">Groei inkomsten is gelijk aan 0,8 * inflatie &amp; 0,2 * loonstijging &amp; groei inwoners </t>
  </si>
  <si>
    <t xml:space="preserve">Groei uitgaven is gelijk aan loonstijging &amp; groei inwonertal </t>
  </si>
  <si>
    <t>Rente-inkomsten uitzettingen</t>
  </si>
  <si>
    <t>Fin.resultaat bezit</t>
  </si>
  <si>
    <t>Parkeerbelasting</t>
  </si>
  <si>
    <t xml:space="preserve">Groei inkomsten is gelijk aan prijspeil bbp &amp; economische groei &amp; relatieve groei inwonertal  </t>
  </si>
  <si>
    <t>Macrogegevens trend</t>
  </si>
  <si>
    <t>Investeringen</t>
  </si>
  <si>
    <t>Financieringstructuur</t>
  </si>
  <si>
    <t>Kort lopende vorderingen</t>
  </si>
  <si>
    <t>Liquide middelen &amp; uitzettingen kort</t>
  </si>
  <si>
    <t>Overige specifieke uitkeringen</t>
  </si>
  <si>
    <t>Overige decentralisatie uitkeringen</t>
  </si>
  <si>
    <t>Rente liquide middelen &amp; uitzettingen kort</t>
  </si>
  <si>
    <t>Rente kortlopende schuld</t>
  </si>
  <si>
    <t>Houdbaarheidstest gemeentefinanciën</t>
  </si>
  <si>
    <t xml:space="preserve">Het intellectuele eigendom van deze test berust bij Jan van der Lei. Derden mogen zonder toestemming geen wijzigingen aanbrengen in de vaste gegevens van deze test. De VNG te Den Haag en haar leden hebben het gebruiksrecht van deze test voor de duur van het dienstverband van Jan van der Lei bij de VNG.    </t>
  </si>
  <si>
    <t>Precario</t>
  </si>
  <si>
    <t>Reclamebelasting</t>
  </si>
  <si>
    <t>Inhuur derden</t>
  </si>
  <si>
    <t>Dividend</t>
  </si>
  <si>
    <t>Houdbaarheidstest gemeentefinancien</t>
  </si>
  <si>
    <t>Kaptaalverstrekkingen</t>
  </si>
  <si>
    <t>Leningen aan verbonden partijen</t>
  </si>
  <si>
    <t>Leningen aan derden</t>
  </si>
  <si>
    <t>Langlopende uitzettingen</t>
  </si>
  <si>
    <t>Kortlopende vorderingen</t>
  </si>
  <si>
    <t>Balanstotaal</t>
  </si>
  <si>
    <t>Debet</t>
  </si>
  <si>
    <t>Credit</t>
  </si>
  <si>
    <t>Investering 2016</t>
  </si>
  <si>
    <t>Investering 2023</t>
  </si>
  <si>
    <t>Opbrengst verkoop 2023</t>
  </si>
  <si>
    <t>Aflossing 2015</t>
  </si>
  <si>
    <t xml:space="preserve">Aflossing 2016 </t>
  </si>
  <si>
    <t>Gemiddeld rentepercentage restant 2017</t>
  </si>
  <si>
    <t>Aflossing 2019</t>
  </si>
  <si>
    <t xml:space="preserve">Gemiddeld rentepercentage restant 2020 </t>
  </si>
  <si>
    <t>Aflossing 2023</t>
  </si>
  <si>
    <t>Gemiddeld rentepercentage restant 2023</t>
  </si>
  <si>
    <t>Groei inwoners gemeente per jaar</t>
  </si>
  <si>
    <t>Groei bedrijfsvestigingen per jaar</t>
  </si>
  <si>
    <t>Rentekosten leningen</t>
  </si>
  <si>
    <t>Eind</t>
  </si>
  <si>
    <t>Netto schuld</t>
  </si>
  <si>
    <t>Rentekosten</t>
  </si>
  <si>
    <t>Lopende uitgaven</t>
  </si>
  <si>
    <t>excl. bouwgrondexpl.</t>
  </si>
  <si>
    <t>incl. bouwgrondexpl.</t>
  </si>
  <si>
    <t>Scenario</t>
  </si>
  <si>
    <t>Nieuwe leningen verbonden partijen</t>
  </si>
  <si>
    <t>Nieuwe leningen aan derden</t>
  </si>
  <si>
    <t>Rente 10 jaar staatslening</t>
  </si>
  <si>
    <t>31 dec jaar</t>
  </si>
  <si>
    <t>Rente uitgeleend</t>
  </si>
  <si>
    <t>Rente langlopende lening</t>
  </si>
  <si>
    <t>jaar</t>
  </si>
  <si>
    <t>looptijd</t>
  </si>
  <si>
    <t>Gemeentenaam</t>
  </si>
  <si>
    <t>Aa en Hunze</t>
  </si>
  <si>
    <t>Assen</t>
  </si>
  <si>
    <t>Borger-Odoorn</t>
  </si>
  <si>
    <t>Coevorden</t>
  </si>
  <si>
    <t>Emmen</t>
  </si>
  <si>
    <t>Hoogeveen</t>
  </si>
  <si>
    <t>Meppel</t>
  </si>
  <si>
    <t>Midden-Drenthe</t>
  </si>
  <si>
    <t>Noordenveld</t>
  </si>
  <si>
    <t>Tynaarlo</t>
  </si>
  <si>
    <t>Westerveld</t>
  </si>
  <si>
    <t>De Wolden</t>
  </si>
  <si>
    <t>Midden</t>
  </si>
  <si>
    <t>Appingedam</t>
  </si>
  <si>
    <t>Bedum</t>
  </si>
  <si>
    <t>Bellingwedde</t>
  </si>
  <si>
    <t>De Marne</t>
  </si>
  <si>
    <t>Delfzijl</t>
  </si>
  <si>
    <t>Eemsmond</t>
  </si>
  <si>
    <t>Groningen</t>
  </si>
  <si>
    <t>Grootegast</t>
  </si>
  <si>
    <t>Haren</t>
  </si>
  <si>
    <t>Hoogezand-Sappemeer</t>
  </si>
  <si>
    <t>Leek</t>
  </si>
  <si>
    <t>Loppersum</t>
  </si>
  <si>
    <t>Marum</t>
  </si>
  <si>
    <t>Menterwolde</t>
  </si>
  <si>
    <t>Oldambt</t>
  </si>
  <si>
    <t>Pekela</t>
  </si>
  <si>
    <t>Slochteren</t>
  </si>
  <si>
    <t>Stadskanaal</t>
  </si>
  <si>
    <t>Ten Boer</t>
  </si>
  <si>
    <t>Veendam</t>
  </si>
  <si>
    <t>Vlagtwedde</t>
  </si>
  <si>
    <t>Winsum</t>
  </si>
  <si>
    <t>Zuidhorn</t>
  </si>
  <si>
    <t>Achtkarspelen</t>
  </si>
  <si>
    <t>Ameland</t>
  </si>
  <si>
    <t>Dantumadiel</t>
  </si>
  <si>
    <t>De Friese Meren</t>
  </si>
  <si>
    <t>Dongeradeel</t>
  </si>
  <si>
    <t>Ferwerderadiel</t>
  </si>
  <si>
    <t>Franekeradeel</t>
  </si>
  <si>
    <t>Harlingen</t>
  </si>
  <si>
    <t>Heerenveen</t>
  </si>
  <si>
    <t>Het Bildt</t>
  </si>
  <si>
    <t>Leeuwarden</t>
  </si>
  <si>
    <t>Leeuwarderadeel</t>
  </si>
  <si>
    <t>Littenseradiel</t>
  </si>
  <si>
    <t>Menameradiel</t>
  </si>
  <si>
    <t>Ooststellingwerf</t>
  </si>
  <si>
    <t>Opsterland</t>
  </si>
  <si>
    <t>Schiermonnikoog</t>
  </si>
  <si>
    <t>Smallingerland</t>
  </si>
  <si>
    <t>Terschelling</t>
  </si>
  <si>
    <t>Tytsjerksteradiel</t>
  </si>
  <si>
    <t>Vlieland</t>
  </si>
  <si>
    <t>Weststellingwerf</t>
  </si>
  <si>
    <t>Almelo</t>
  </si>
  <si>
    <t>Borne</t>
  </si>
  <si>
    <t>Dalfsen</t>
  </si>
  <si>
    <t>Deventer</t>
  </si>
  <si>
    <t>Dinkelland</t>
  </si>
  <si>
    <t>Enschede</t>
  </si>
  <si>
    <t>Haaksbergen</t>
  </si>
  <si>
    <t>Hardenberg</t>
  </si>
  <si>
    <t>Hellendoorn</t>
  </si>
  <si>
    <t>Hof van Twente</t>
  </si>
  <si>
    <t>Kampen</t>
  </si>
  <si>
    <t>Losser</t>
  </si>
  <si>
    <t>Oldenzaal</t>
  </si>
  <si>
    <t>Olst-Wijhe</t>
  </si>
  <si>
    <t>Ommen</t>
  </si>
  <si>
    <t>Raalte</t>
  </si>
  <si>
    <t>Rijssen-Holten</t>
  </si>
  <si>
    <t>Staphorst</t>
  </si>
  <si>
    <t>Steenwijkerland</t>
  </si>
  <si>
    <t>Tubbergen</t>
  </si>
  <si>
    <t>Twenterand</t>
  </si>
  <si>
    <t>Wierden</t>
  </si>
  <si>
    <t>Zwartewaterland</t>
  </si>
  <si>
    <t>Zwolle</t>
  </si>
  <si>
    <t>Aalten</t>
  </si>
  <si>
    <t>Apeldoorn</t>
  </si>
  <si>
    <t>Arnhem</t>
  </si>
  <si>
    <t>Barneveld</t>
  </si>
  <si>
    <t>Berkelland</t>
  </si>
  <si>
    <t>Beuningen</t>
  </si>
  <si>
    <t>Bronckhorst</t>
  </si>
  <si>
    <t>Brummen</t>
  </si>
  <si>
    <t>Buren</t>
  </si>
  <si>
    <t>Culemborg</t>
  </si>
  <si>
    <t>Doesburg</t>
  </si>
  <si>
    <t>Doetinchem</t>
  </si>
  <si>
    <t>Druten</t>
  </si>
  <si>
    <t>Duiven</t>
  </si>
  <si>
    <t>Ede</t>
  </si>
  <si>
    <t>Elburg</t>
  </si>
  <si>
    <t>Epe</t>
  </si>
  <si>
    <t>Ermelo</t>
  </si>
  <si>
    <t>Geldermalsen</t>
  </si>
  <si>
    <t>Groesbeek</t>
  </si>
  <si>
    <t>Harderwijk</t>
  </si>
  <si>
    <t>Hattem</t>
  </si>
  <si>
    <t>Heerde</t>
  </si>
  <si>
    <t>Heumen</t>
  </si>
  <si>
    <t>Lingewaal</t>
  </si>
  <si>
    <t>Lingewaard</t>
  </si>
  <si>
    <t>Lochem</t>
  </si>
  <si>
    <t>Maasdriel</t>
  </si>
  <si>
    <t>Millingen aan de Rijn</t>
  </si>
  <si>
    <t>Montferland</t>
  </si>
  <si>
    <t>Neder-Betuwe</t>
  </si>
  <si>
    <t>Neerijnen</t>
  </si>
  <si>
    <t>Nijkerk</t>
  </si>
  <si>
    <t>Nijmegen</t>
  </si>
  <si>
    <t>Nunspeet</t>
  </si>
  <si>
    <t>Oldebroek</t>
  </si>
  <si>
    <t>Oost Gelre</t>
  </si>
  <si>
    <t>Oude IJsselstreek</t>
  </si>
  <si>
    <t>Overbetuwe</t>
  </si>
  <si>
    <t>Putten</t>
  </si>
  <si>
    <t>Renkum</t>
  </si>
  <si>
    <t>Rheden</t>
  </si>
  <si>
    <t>Rijnwaarden</t>
  </si>
  <si>
    <t>Rozendaal</t>
  </si>
  <si>
    <t>Scherpenzeel</t>
  </si>
  <si>
    <t>Tiel</t>
  </si>
  <si>
    <t>Ubbergen</t>
  </si>
  <si>
    <t>Voorst</t>
  </si>
  <si>
    <t>Wageningen</t>
  </si>
  <si>
    <t>West Maas en Waal</t>
  </si>
  <si>
    <t>Westervoort</t>
  </si>
  <si>
    <t>Wijchen</t>
  </si>
  <si>
    <t>Winterswijk</t>
  </si>
  <si>
    <t>Zaltbommel</t>
  </si>
  <si>
    <t>Zevenaar</t>
  </si>
  <si>
    <t>Zutphen</t>
  </si>
  <si>
    <t>Amersfoort</t>
  </si>
  <si>
    <t>Baarn</t>
  </si>
  <si>
    <t>Bunnik</t>
  </si>
  <si>
    <t>Bunschoten</t>
  </si>
  <si>
    <t>De Bilt</t>
  </si>
  <si>
    <t>De Ronde Venen</t>
  </si>
  <si>
    <t>Eemnes</t>
  </si>
  <si>
    <t>Houten</t>
  </si>
  <si>
    <t>IJsselstein</t>
  </si>
  <si>
    <t>Leusden</t>
  </si>
  <si>
    <t>Lopik</t>
  </si>
  <si>
    <t>Montfoort U</t>
  </si>
  <si>
    <t>Nieuwegein</t>
  </si>
  <si>
    <t>Oudewater</t>
  </si>
  <si>
    <t>Renswoude</t>
  </si>
  <si>
    <t>Rhenen</t>
  </si>
  <si>
    <t>Soest</t>
  </si>
  <si>
    <t>Stichtse Vecht</t>
  </si>
  <si>
    <t>Utrecht</t>
  </si>
  <si>
    <t>Utrechtse Heuvelrug</t>
  </si>
  <si>
    <t>Veenendaal</t>
  </si>
  <si>
    <t>Vianen</t>
  </si>
  <si>
    <t>Wijk bij Duurstede</t>
  </si>
  <si>
    <t>Woerden</t>
  </si>
  <si>
    <t>Woudenberg</t>
  </si>
  <si>
    <t>Zeist</t>
  </si>
  <si>
    <t>Aalsmeer</t>
  </si>
  <si>
    <t>Alkmaar</t>
  </si>
  <si>
    <t>Amstelveen</t>
  </si>
  <si>
    <t>Amsterdam</t>
  </si>
  <si>
    <t>Beemster</t>
  </si>
  <si>
    <t>Beverwijk</t>
  </si>
  <si>
    <t>Blaricum</t>
  </si>
  <si>
    <t>Bloemendaal</t>
  </si>
  <si>
    <t>Bussum</t>
  </si>
  <si>
    <t>Castricum</t>
  </si>
  <si>
    <t>Den Helder</t>
  </si>
  <si>
    <t>Diemen</t>
  </si>
  <si>
    <t>Drechterland</t>
  </si>
  <si>
    <t>Edam-Volendam</t>
  </si>
  <si>
    <t>Enkhuizen</t>
  </si>
  <si>
    <t>Graft-De Rijp</t>
  </si>
  <si>
    <t>Haarlem</t>
  </si>
  <si>
    <t>Haarlemmerliede Spaarnw</t>
  </si>
  <si>
    <t>Haarlemmermeer</t>
  </si>
  <si>
    <t>Heemskerk</t>
  </si>
  <si>
    <t>Heemstede</t>
  </si>
  <si>
    <t>Heerhugowaard</t>
  </si>
  <si>
    <t>Heiloo</t>
  </si>
  <si>
    <t>Hilversum</t>
  </si>
  <si>
    <t>Hollands Kroon</t>
  </si>
  <si>
    <t>Hoorn</t>
  </si>
  <si>
    <t>Huizen</t>
  </si>
  <si>
    <t>Koggenland</t>
  </si>
  <si>
    <t>Landsmeer</t>
  </si>
  <si>
    <t>Langedijk</t>
  </si>
  <si>
    <t>Laren</t>
  </si>
  <si>
    <t>Medemblik</t>
  </si>
  <si>
    <t>Muiden</t>
  </si>
  <si>
    <t>Naarden</t>
  </si>
  <si>
    <t>Oostzaan</t>
  </si>
  <si>
    <t>Opmeer</t>
  </si>
  <si>
    <t>Ouder-Amstel</t>
  </si>
  <si>
    <t>Purmerend</t>
  </si>
  <si>
    <t>Schagen</t>
  </si>
  <si>
    <t>Schermer</t>
  </si>
  <si>
    <t>Stede Broec</t>
  </si>
  <si>
    <t>Texel</t>
  </si>
  <si>
    <t>Uitgeest</t>
  </si>
  <si>
    <t>Uithoorn</t>
  </si>
  <si>
    <t>Velsen</t>
  </si>
  <si>
    <t>Waterland</t>
  </si>
  <si>
    <t>Weesp</t>
  </si>
  <si>
    <t>Wijdemeren</t>
  </si>
  <si>
    <t>Wormerland</t>
  </si>
  <si>
    <t>Zaanstad</t>
  </si>
  <si>
    <t>Zandvoort</t>
  </si>
  <si>
    <t>Zeevang</t>
  </si>
  <si>
    <t>Alblasserdam</t>
  </si>
  <si>
    <t>Albrandswaard</t>
  </si>
  <si>
    <t>Alphen aan den Rijn</t>
  </si>
  <si>
    <t>Barendrecht</t>
  </si>
  <si>
    <t>Bergambacht</t>
  </si>
  <si>
    <t>Bernisse</t>
  </si>
  <si>
    <t>Binnenmaas</t>
  </si>
  <si>
    <t>Bodegraven-Reeuwijk</t>
  </si>
  <si>
    <t>Brielle</t>
  </si>
  <si>
    <t>Capelle aan den IJssel</t>
  </si>
  <si>
    <t>Cromstrijen</t>
  </si>
  <si>
    <t>Delft</t>
  </si>
  <si>
    <t>Dordrecht</t>
  </si>
  <si>
    <t>Giessenlanden</t>
  </si>
  <si>
    <t>Goeree-Overflakkee</t>
  </si>
  <si>
    <t>Gorinchem</t>
  </si>
  <si>
    <t>Gouda</t>
  </si>
  <si>
    <t>Hardinxveld-Giessendam</t>
  </si>
  <si>
    <t>Hellevoetsluis</t>
  </si>
  <si>
    <t>Hendrik-Ido-Ambacht</t>
  </si>
  <si>
    <t>Hillegom</t>
  </si>
  <si>
    <t>Kaag en Braassem</t>
  </si>
  <si>
    <t>Katwijk</t>
  </si>
  <si>
    <t>Korendijk</t>
  </si>
  <si>
    <t>Krimpen aan den IJssel</t>
  </si>
  <si>
    <t>Lansingerland</t>
  </si>
  <si>
    <t>Leerdam</t>
  </si>
  <si>
    <t>Leiden</t>
  </si>
  <si>
    <t>Leiderdorp</t>
  </si>
  <si>
    <t>Leidschendam-Voorburg</t>
  </si>
  <si>
    <t>Lisse</t>
  </si>
  <si>
    <t>Maassluis</t>
  </si>
  <si>
    <t>Midden-Delfland</t>
  </si>
  <si>
    <t>Molenwaard</t>
  </si>
  <si>
    <t>Nederlek</t>
  </si>
  <si>
    <t>Nieuwkoop</t>
  </si>
  <si>
    <t>Noordwijk</t>
  </si>
  <si>
    <t>Noordwijkerhout</t>
  </si>
  <si>
    <t>Oegstgeest</t>
  </si>
  <si>
    <t>Oud-Beijerland</t>
  </si>
  <si>
    <t>Ouderkerk</t>
  </si>
  <si>
    <t>Papendrecht</t>
  </si>
  <si>
    <t>Pijnacker-Nootdorp</t>
  </si>
  <si>
    <t>Ridderkerk</t>
  </si>
  <si>
    <t>Rijswijk</t>
  </si>
  <si>
    <t>Rotterdam</t>
  </si>
  <si>
    <t>Schiedam</t>
  </si>
  <si>
    <t>Schoonhoven</t>
  </si>
  <si>
    <t>Sliedrecht</t>
  </si>
  <si>
    <t>Spijkenisse</t>
  </si>
  <si>
    <t>Strijen</t>
  </si>
  <si>
    <t>Teylingen</t>
  </si>
  <si>
    <t>Vlaardingen</t>
  </si>
  <si>
    <t>Vlist</t>
  </si>
  <si>
    <t>Voorschoten</t>
  </si>
  <si>
    <t>Waddinxveen</t>
  </si>
  <si>
    <t>Wassenaar</t>
  </si>
  <si>
    <t>Westland</t>
  </si>
  <si>
    <t>Westvoorne</t>
  </si>
  <si>
    <t>Zederik</t>
  </si>
  <si>
    <t>Zoetermeer</t>
  </si>
  <si>
    <t>Zoeterwoude</t>
  </si>
  <si>
    <t>Zuidplas</t>
  </si>
  <si>
    <t>Zwijndrecht</t>
  </si>
  <si>
    <t>Borsele</t>
  </si>
  <si>
    <t>Goes</t>
  </si>
  <si>
    <t>Hulst</t>
  </si>
  <si>
    <t>Kapelle</t>
  </si>
  <si>
    <t>Middelburg</t>
  </si>
  <si>
    <t>Noord-Beveland</t>
  </si>
  <si>
    <t>Reimerswaal</t>
  </si>
  <si>
    <t>Schouwen-Duiveland</t>
  </si>
  <si>
    <t>Sluis</t>
  </si>
  <si>
    <t>Terneuzen</t>
  </si>
  <si>
    <t>Tholen</t>
  </si>
  <si>
    <t>Veere</t>
  </si>
  <si>
    <t>Vlissingen</t>
  </si>
  <si>
    <t>Aalburg</t>
  </si>
  <si>
    <t>Alphen-Chaam</t>
  </si>
  <si>
    <t>Asten</t>
  </si>
  <si>
    <t>Baarle-Nassau</t>
  </si>
  <si>
    <t>Bergeijk</t>
  </si>
  <si>
    <t>Bergen op Zoom</t>
  </si>
  <si>
    <t>Bernheze</t>
  </si>
  <si>
    <t>Best</t>
  </si>
  <si>
    <t>Bladel</t>
  </si>
  <si>
    <t>Boekel</t>
  </si>
  <si>
    <t>Boxmeer</t>
  </si>
  <si>
    <t>Boxtel</t>
  </si>
  <si>
    <t>Breda</t>
  </si>
  <si>
    <t>Cranendonck</t>
  </si>
  <si>
    <t>Cuijk</t>
  </si>
  <si>
    <t>Deurne</t>
  </si>
  <si>
    <t>Dongen</t>
  </si>
  <si>
    <t>Drimmelen</t>
  </si>
  <si>
    <t>Eersel</t>
  </si>
  <si>
    <t>Eindhoven</t>
  </si>
  <si>
    <t>Etten-Leur</t>
  </si>
  <si>
    <t>Geertruidenberg</t>
  </si>
  <si>
    <t>Geldrop-Mierlo</t>
  </si>
  <si>
    <t>Gemert-Bakel</t>
  </si>
  <si>
    <t>Gilze en Rijen</t>
  </si>
  <si>
    <t>Goirle</t>
  </si>
  <si>
    <t>Grave</t>
  </si>
  <si>
    <t>Haaren</t>
  </si>
  <si>
    <t>Halderberge</t>
  </si>
  <si>
    <t>Heeze-Leende</t>
  </si>
  <si>
    <t>Helmond</t>
  </si>
  <si>
    <t>Heusden</t>
  </si>
  <si>
    <t>Hilvarenbeek</t>
  </si>
  <si>
    <t>Laarbeek</t>
  </si>
  <si>
    <t>Landerd</t>
  </si>
  <si>
    <t>Loon op Zand</t>
  </si>
  <si>
    <t>Maasdonk</t>
  </si>
  <si>
    <t>Mill en Sint Hubert</t>
  </si>
  <si>
    <t>Moerdijk</t>
  </si>
  <si>
    <t>Oirschot</t>
  </si>
  <si>
    <t>Oisterwijk</t>
  </si>
  <si>
    <t>Oosterhout</t>
  </si>
  <si>
    <t>Oss</t>
  </si>
  <si>
    <t>Reusel-De Mierden</t>
  </si>
  <si>
    <t>Roosendaal</t>
  </si>
  <si>
    <t>Rucphen</t>
  </si>
  <si>
    <t>Schijndel</t>
  </si>
  <si>
    <t>Sint-Anthonis</t>
  </si>
  <si>
    <t>Sint-Michielsgestel</t>
  </si>
  <si>
    <t>Sint-Oedenrode</t>
  </si>
  <si>
    <t>Someren</t>
  </si>
  <si>
    <t>Son en Breugel</t>
  </si>
  <si>
    <t>Steenbergen</t>
  </si>
  <si>
    <t>Tilburg</t>
  </si>
  <si>
    <t>Uden</t>
  </si>
  <si>
    <t>Valkenswaard</t>
  </si>
  <si>
    <t>Veghel</t>
  </si>
  <si>
    <t>Veldhoven</t>
  </si>
  <si>
    <t>Vught</t>
  </si>
  <si>
    <t>Waalre</t>
  </si>
  <si>
    <t>Waalwijk</t>
  </si>
  <si>
    <t>Werkendam</t>
  </si>
  <si>
    <t>Woensdrecht</t>
  </si>
  <si>
    <t>Woudrichem</t>
  </si>
  <si>
    <t>Zundert</t>
  </si>
  <si>
    <t>Beek</t>
  </si>
  <si>
    <t>Beesel</t>
  </si>
  <si>
    <t>Brunssum</t>
  </si>
  <si>
    <t>Echt-Susteren</t>
  </si>
  <si>
    <t>Eijsden-Margraten</t>
  </si>
  <si>
    <t>Gennep</t>
  </si>
  <si>
    <t>Gulpen-Wittem</t>
  </si>
  <si>
    <t>Heerlen</t>
  </si>
  <si>
    <t>Horst aan de Maas</t>
  </si>
  <si>
    <t>Kerkrade</t>
  </si>
  <si>
    <t>Landgraaf</t>
  </si>
  <si>
    <t>Leudal</t>
  </si>
  <si>
    <t>Maasgouw</t>
  </si>
  <si>
    <t>Maastricht</t>
  </si>
  <si>
    <t>Meerssen</t>
  </si>
  <si>
    <t>Mook en Middelaar</t>
  </si>
  <si>
    <t>Nederweert</t>
  </si>
  <si>
    <t>Nuth</t>
  </si>
  <si>
    <t>Onderbanken</t>
  </si>
  <si>
    <t>Peel en Maas</t>
  </si>
  <si>
    <t>Roerdalen</t>
  </si>
  <si>
    <t>Roermond</t>
  </si>
  <si>
    <t>Schinnen</t>
  </si>
  <si>
    <t>Simpelveld</t>
  </si>
  <si>
    <t>Sittard-Geleen</t>
  </si>
  <si>
    <t>Stein</t>
  </si>
  <si>
    <t>Vaals</t>
  </si>
  <si>
    <t>Valkenburg aan de Geul</t>
  </si>
  <si>
    <t>Venlo</t>
  </si>
  <si>
    <t>Venray</t>
  </si>
  <si>
    <t>Voerendaal</t>
  </si>
  <si>
    <t>Weert</t>
  </si>
  <si>
    <t>Almere</t>
  </si>
  <si>
    <t>Dronten</t>
  </si>
  <si>
    <t>Lelystad</t>
  </si>
  <si>
    <t>Noordoostpolder</t>
  </si>
  <si>
    <t>Urk</t>
  </si>
  <si>
    <t>Zeewolde</t>
  </si>
  <si>
    <t>Kollumerland en Nieuwkruisland</t>
  </si>
  <si>
    <t>Nuenen, Gerwen en Nederwetten</t>
  </si>
  <si>
    <t>Bergen (L.)</t>
  </si>
  <si>
    <t>Bergen (NH.)</t>
  </si>
  <si>
    <t>Haarlemmerliede en Spaarnwoude</t>
  </si>
  <si>
    <t>het Bildt</t>
  </si>
  <si>
    <t>Montfoort</t>
  </si>
  <si>
    <t>Sint Anthonis</t>
  </si>
  <si>
    <t>Súdwest-Fryslân</t>
  </si>
  <si>
    <t>Hoog</t>
  </si>
  <si>
    <t>2. Groei inwoners</t>
  </si>
  <si>
    <t>3. Inwonergevoeligheid AU</t>
  </si>
  <si>
    <t>4. Groei bedrijfsvestigingen</t>
  </si>
  <si>
    <t>7. Inwoners 31 dec 2023</t>
  </si>
  <si>
    <t>Boarnsterhim</t>
  </si>
  <si>
    <t>1. Gemeentenaam</t>
  </si>
  <si>
    <t>Nederland</t>
  </si>
  <si>
    <t>s-Gravenhage</t>
  </si>
  <si>
    <t>Hengelo</t>
  </si>
  <si>
    <t>Investeringsruimte</t>
  </si>
  <si>
    <t>nnb</t>
  </si>
  <si>
    <t>Kollumerland en Nwkruisl</t>
  </si>
  <si>
    <t>Sudwest Fryslan</t>
  </si>
  <si>
    <t>Midden Drenthe</t>
  </si>
  <si>
    <t>Hengelo O</t>
  </si>
  <si>
    <t>Bergen NH</t>
  </si>
  <si>
    <t>Nuenen c.a.</t>
  </si>
  <si>
    <t>Bergen L</t>
  </si>
  <si>
    <t>Onbenutte belastingcapaciteit</t>
  </si>
  <si>
    <t>5. Inkomsten 2013</t>
  </si>
  <si>
    <t>Uitkomsten scenario's met ombuigingen</t>
  </si>
  <si>
    <t>Netto schuld/inw.</t>
  </si>
  <si>
    <t>Effectieve netto schuldquote</t>
  </si>
  <si>
    <t>Ombuigingsquote</t>
  </si>
  <si>
    <t>24. niet woningen</t>
  </si>
  <si>
    <t>Primair surplus in % van inkomsten</t>
  </si>
  <si>
    <t>Bijdragen in activa derden</t>
  </si>
  <si>
    <t xml:space="preserve">Niet in expl.genomen bouwgrond </t>
  </si>
  <si>
    <t>Liquide middelen</t>
  </si>
  <si>
    <t>Voorzieningen</t>
  </si>
  <si>
    <t>Overige langlopende schulden</t>
  </si>
  <si>
    <t>Langlopende leningen</t>
  </si>
  <si>
    <t>Kortlopende leningen</t>
  </si>
  <si>
    <t>Totaal eigen vermogen</t>
  </si>
  <si>
    <t>Reserves</t>
  </si>
  <si>
    <t>Totaal voorraden</t>
  </si>
  <si>
    <t>Totaal langlopende schuld</t>
  </si>
  <si>
    <t>Totaal uitgeleende gelden</t>
  </si>
  <si>
    <t>Afschrijvingspercentage ideaal</t>
  </si>
  <si>
    <t>Afschrijvingspercentage werkelijk</t>
  </si>
  <si>
    <t>Afschrijvingspercentage</t>
  </si>
  <si>
    <t>Toe- of afname onderhanden werk</t>
  </si>
  <si>
    <t>Mutatie voorziening</t>
  </si>
  <si>
    <t>Inw.gevoeligheid midden laag</t>
  </si>
  <si>
    <t>Baten bouwgrond</t>
  </si>
  <si>
    <t>Rente-inkomsten</t>
  </si>
  <si>
    <t>Rente-uitgaven</t>
  </si>
  <si>
    <t>Lasten bouwgrond</t>
  </si>
  <si>
    <t>Afschrijvingen</t>
  </si>
  <si>
    <t>Overige niet ingedeelde uitgaven</t>
  </si>
  <si>
    <t>Overige niet ingedeelde inkomsten</t>
  </si>
  <si>
    <t>Materiële vaste activa</t>
  </si>
  <si>
    <t>Immateriële vaste activa</t>
  </si>
  <si>
    <t xml:space="preserve">Totaal (im-)materiële vaste activa </t>
  </si>
  <si>
    <t>Onderhanden werk incl. bouwgrond in expl.</t>
  </si>
  <si>
    <t>Investeringsbijdragen aan derden</t>
  </si>
  <si>
    <t>Rente-opbrengst</t>
  </si>
  <si>
    <t>Ombuiging grondexploitatie</t>
  </si>
  <si>
    <t>Gem kst.</t>
  </si>
  <si>
    <t>Gem opbrgst.</t>
  </si>
  <si>
    <t>Correctie 0%</t>
  </si>
  <si>
    <t>Correctie 7%</t>
  </si>
  <si>
    <t xml:space="preserve">Netto opbrengst 7% </t>
  </si>
  <si>
    <t>Correctie grondopbrengst</t>
  </si>
  <si>
    <t>Val opbrengst grondexpl. 2015</t>
  </si>
  <si>
    <t>Val opbrengst grondexpl. vanaf 2016</t>
  </si>
  <si>
    <t>Inroepen verleende garanties</t>
  </si>
  <si>
    <t>Laag</t>
  </si>
  <si>
    <t>Boekwinst verkopen kapitaalverstrekkingen</t>
  </si>
  <si>
    <t xml:space="preserve">Boekwinst vaste materiele en financiele activa </t>
  </si>
  <si>
    <t>Val opbrengst bouwgrondexpl. vanaf 2016 in %</t>
  </si>
  <si>
    <t xml:space="preserve">Afschrijving leningen verbonden partijen 2016 </t>
  </si>
  <si>
    <t>Afschrijving leningen derden 2016</t>
  </si>
  <si>
    <t>Val opbrengst bouwgrondexpl. vanaf 2017 in %</t>
  </si>
  <si>
    <t>Rentestijging 2017 t.o.v. eind 2014</t>
  </si>
  <si>
    <t>Rentestijging 2018 t.o.v. eind 2014</t>
  </si>
  <si>
    <t>Ombuigingspercentage per jaar vanaf 2016</t>
  </si>
  <si>
    <t>Ombuiging investeringen excl. bouwgrondexpl. vanaf 2016</t>
  </si>
  <si>
    <t>Inwoners eind 2014</t>
  </si>
  <si>
    <t>Evolutie netto schuld 2009-2014 / 2009-2015 per inwoner</t>
  </si>
  <si>
    <t>Houdbaarheidstekort in % van ombuigingsrelevante uitgaven</t>
  </si>
  <si>
    <t>Houdbaarheidstekort in % van uitgaven 2016</t>
  </si>
  <si>
    <t>Afschrijvingen immateriële activa 2015</t>
  </si>
  <si>
    <t>Afschrijvingen materiële activa 2015</t>
  </si>
  <si>
    <t>Afschrijvingen bijdragen in activa derden 2015</t>
  </si>
  <si>
    <t>Jaarrek. 2014</t>
  </si>
  <si>
    <t>Begroting 2015</t>
  </si>
  <si>
    <t>Handmatig</t>
  </si>
  <si>
    <t>Netto schuld incl.</t>
  </si>
  <si>
    <t>Beginbalans 1 januari 2015</t>
  </si>
  <si>
    <t>Investering 2017</t>
  </si>
  <si>
    <t xml:space="preserve">Investering 2018 </t>
  </si>
  <si>
    <t>Investering 2024</t>
  </si>
  <si>
    <t>Opbrengst verkoop 2024</t>
  </si>
  <si>
    <t>Gemiddeld rentepercentage 2015</t>
  </si>
  <si>
    <t xml:space="preserve">Gemiddeld rentepercentage 2016 </t>
  </si>
  <si>
    <t xml:space="preserve">Aflossing 2017 </t>
  </si>
  <si>
    <t>Gemiddeld rentepercentage 2017</t>
  </si>
  <si>
    <t>Gemiddeld rentepercentage restant 2018</t>
  </si>
  <si>
    <t>Aflossing 2020</t>
  </si>
  <si>
    <t>Gemiddeld rentepercentage restant 2020</t>
  </si>
  <si>
    <t xml:space="preserve">Aflossing 2021 </t>
  </si>
  <si>
    <t xml:space="preserve">Gemiddeld rentepercentage restant 2021 </t>
  </si>
  <si>
    <t>Aflossing 2024</t>
  </si>
  <si>
    <t>Gemiddeld rentepercentage restant 2024</t>
  </si>
  <si>
    <t>Aflossing 2016</t>
  </si>
  <si>
    <t xml:space="preserve">Gemiddeld rentepercentage restant 2016 </t>
  </si>
  <si>
    <t>Slechtweer scenario</t>
  </si>
  <si>
    <t>Val inkmst.expl. in % m.i.v. 2017</t>
  </si>
  <si>
    <t>Eenmalige val inkomsten 2016</t>
  </si>
  <si>
    <t>Tegenvallers uitg.struct.m.i.v. 2017</t>
  </si>
  <si>
    <t xml:space="preserve">Tegenvaller uitg.2016 eenmalig </t>
  </si>
  <si>
    <t>Taakwijziging fin.verhouding</t>
  </si>
  <si>
    <t>Onbenutte belst.cap.</t>
  </si>
  <si>
    <t>Ombuigingsrelevante uitgaven</t>
  </si>
  <si>
    <t>Rentestijging 2016 t.o.v. eind 2014</t>
  </si>
  <si>
    <t>Balansprognose</t>
  </si>
  <si>
    <t>Nieuwe langlopende uitzettingen</t>
  </si>
  <si>
    <t>Trendmatige economische groei</t>
  </si>
  <si>
    <t>6. Inwoners 31 december 2014</t>
  </si>
  <si>
    <t>Krimpenerwaard</t>
  </si>
  <si>
    <t>Nissewaard</t>
  </si>
  <si>
    <t>s-Hertogenbosch</t>
  </si>
  <si>
    <t>Friesland</t>
  </si>
  <si>
    <t>Rentestijging 2016 t.o.v. trend</t>
  </si>
  <si>
    <t>Rentestijging 2017 t.o.v. trend</t>
  </si>
  <si>
    <t>Rentestijging 2018 t.o.v. trend</t>
  </si>
  <si>
    <t>2. Baten bouwgrond 2010</t>
  </si>
  <si>
    <t>3. Lasten bouwgrond 2010</t>
  </si>
  <si>
    <t>4. Baten bouwgrond 2011</t>
  </si>
  <si>
    <t>5. Lasten bouwgrond 2011</t>
  </si>
  <si>
    <t>6. Baten bouwgrond 2012</t>
  </si>
  <si>
    <t>7. Lasten bouwgrond 2012</t>
  </si>
  <si>
    <t>8. Baten bouwgrond 2013</t>
  </si>
  <si>
    <t>9. Lasten bouwgrond 2013</t>
  </si>
  <si>
    <t>10. Baten bouwgrond 2014</t>
  </si>
  <si>
    <t>11. Lasten bouwgrond 2014</t>
  </si>
  <si>
    <t>12. Baten bouwgrond gem.</t>
  </si>
  <si>
    <t>13. Lasten bouwgrond gem.</t>
  </si>
  <si>
    <t>Rente nieuwe 10 jaars lening</t>
  </si>
  <si>
    <t>Maasdonk Oss</t>
  </si>
  <si>
    <t>Maasdonk s-hertogenbosch</t>
  </si>
  <si>
    <t>8. Bedrijfsvestigingen 2014</t>
  </si>
  <si>
    <t>9. Bedrijfsvestigingen 2013</t>
  </si>
  <si>
    <r>
      <t>11. Afschrijving= 138,66 * inw  R</t>
    </r>
    <r>
      <rPr>
        <b/>
        <sz val="8"/>
        <rFont val="Calibri"/>
        <family val="2"/>
      </rPr>
      <t xml:space="preserve">² </t>
    </r>
    <r>
      <rPr>
        <b/>
        <sz val="8"/>
        <rFont val="Arial"/>
        <family val="2"/>
      </rPr>
      <t>= 0,8254</t>
    </r>
  </si>
  <si>
    <t>12. Onbenutte belastingcapaciteit</t>
  </si>
  <si>
    <t>13. Budget jeugd</t>
  </si>
  <si>
    <t>14. Budget zorg</t>
  </si>
  <si>
    <t>15. Budget zorg centr.gem.</t>
  </si>
  <si>
    <t>16. Totaal budget decentralisatie</t>
  </si>
  <si>
    <t>17. Uitgaven 2013</t>
  </si>
  <si>
    <t>18. Netto schuld / inw. 2009</t>
  </si>
  <si>
    <t>19. Tarief woningen</t>
  </si>
  <si>
    <t>20. Eigenaar niet woning</t>
  </si>
  <si>
    <t>21. Gebruiker niet woning</t>
  </si>
  <si>
    <t>22. Gemeente</t>
  </si>
  <si>
    <t>23. woningen</t>
  </si>
  <si>
    <t>25. niet woningen</t>
  </si>
  <si>
    <t>28. Opbrengst art 12</t>
  </si>
  <si>
    <t>29. Onbenutte belastingcapaciteit</t>
  </si>
  <si>
    <t>10. Bedrijfsvestigingen 2012</t>
  </si>
  <si>
    <t>Quick ratio</t>
  </si>
  <si>
    <t>Netto rente in procenten van uitgaven</t>
  </si>
  <si>
    <t>Quickratio</t>
  </si>
  <si>
    <t>Uitgaven excl. rente, afschrijvingen, investeringen, bouwgrond</t>
  </si>
  <si>
    <t>Inkomsten voor bestemming reserves en excl. rente, boekwinst verk. activa, bouwgrond</t>
  </si>
  <si>
    <t xml:space="preserve">Boekwinst verkopen materiele vaste activa </t>
  </si>
  <si>
    <t>Baten v. bestemming reserves incl. bouwgrondexpl.</t>
  </si>
  <si>
    <t>Saldo bouwgrond</t>
  </si>
  <si>
    <t>Sociaal deelfonds in gemeentefonds</t>
  </si>
  <si>
    <t>Loonkostensubsidies participatie</t>
  </si>
  <si>
    <t>Jeugdzorg</t>
  </si>
  <si>
    <t>Maatschappelijke ondersteuning</t>
  </si>
  <si>
    <t>Onderhoud groen en openbare ruimte</t>
  </si>
  <si>
    <t>2. Algemene uitkering</t>
  </si>
  <si>
    <t>5. Ov. Decentralisatie-uitk</t>
  </si>
  <si>
    <t>4. Integratie-uitk. Sociaal domein</t>
  </si>
  <si>
    <t>3. Intergratie-uitk. WMO</t>
  </si>
  <si>
    <t>Súdwest Fryslân</t>
  </si>
  <si>
    <t>6. WBB Bijstand</t>
  </si>
  <si>
    <t>26. Opbrengst OZB woningen</t>
  </si>
  <si>
    <t>27. Opbrengst OZB niet woningen</t>
  </si>
  <si>
    <t>7. Afvalstoffenheffing</t>
  </si>
  <si>
    <t>8. Rioolrechten</t>
  </si>
  <si>
    <t>9. Bouwvergunningen</t>
  </si>
  <si>
    <t>10. Secretarieleges</t>
  </si>
  <si>
    <t>11. Grafrechten</t>
  </si>
  <si>
    <t>12. Toeristenbelasting</t>
  </si>
  <si>
    <t>13. Forensenbelasting</t>
  </si>
  <si>
    <t>14. Reclamebelasting</t>
  </si>
  <si>
    <t>15. Parkeerbelasting</t>
  </si>
  <si>
    <t>(Im-)materiële vaste activa</t>
  </si>
  <si>
    <t xml:space="preserve">Totaal ombuigingen 5 jaar in constante prijs € </t>
  </si>
  <si>
    <t>Lasten v. best. reserves incl. kostprijs verk. bouwgrond</t>
  </si>
  <si>
    <t>Opbrengst verkoop bezit</t>
  </si>
  <si>
    <t>EMU saldo 2015 (rood = EMU-tekort)</t>
  </si>
  <si>
    <t>Afname niet in expl. genomen bouwgrond</t>
  </si>
  <si>
    <t>Resultaat v. bestemming in % van inkomsten</t>
  </si>
  <si>
    <t xml:space="preserve">Taakwijzigingen financiele verhouding  </t>
  </si>
  <si>
    <t>in exploitatie result.</t>
  </si>
  <si>
    <t>Netto inkomsten</t>
  </si>
  <si>
    <t>Netto uitgaven</t>
  </si>
  <si>
    <t>Val netto inkomsten 2016 t.o.v. trend normaal</t>
  </si>
  <si>
    <t>Val netto inkomsten 2017 - 2024 t.o.v. trend normaal</t>
  </si>
  <si>
    <t xml:space="preserve">Tegenvaller netto uitgaven 2016 t.o.v. trend normaal </t>
  </si>
  <si>
    <t xml:space="preserve">Tegenvallers netto uitgaven 2017 - 2024 t.o.v. trend normaal </t>
  </si>
  <si>
    <t>Slechtweer</t>
  </si>
  <si>
    <t>Ideaal primair surplus in % van inkomsten</t>
  </si>
  <si>
    <t>Jan van der Lei, maart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</si>
</sst>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 #,##0;&quot;€&quot;\ \-#,##0"/>
    <numFmt numFmtId="6" formatCode="&quot;€&quot;\ #,##0;[Red]&quot;€&quot;\ \-#,##0"/>
    <numFmt numFmtId="42" formatCode="_ &quot;€&quot;\ * #,##0_ ;_ &quot;€&quot;\ * \-#,##0_ ;_ &quot;€&quot;\ * &quot;-&quot;_ ;_ @_ "/>
    <numFmt numFmtId="164" formatCode="_-&quot;€&quot;\ * #,##0_-;_-&quot;€&quot;\ * #,##0\-;_-&quot;€&quot;\ * &quot;-&quot;_-;_-@_-"/>
    <numFmt numFmtId="165" formatCode="0.0%"/>
    <numFmt numFmtId="166" formatCode="_-&quot;€&quot;\ * #,##0.0_-;_-&quot;€&quot;\ * #,##0.0\-;_-&quot;€&quot;\ * &quot;-&quot;?_-;_-@_-"/>
    <numFmt numFmtId="167" formatCode="&quot;€&quot;\ #,##0"/>
    <numFmt numFmtId="168" formatCode="&quot;€&quot;\ #,##0;[Red]&quot;€&quot;\ #,##0"/>
    <numFmt numFmtId="169" formatCode="#,##0_ ;[Red]\-#,##0\ "/>
    <numFmt numFmtId="170" formatCode="0_ ;[Red]\-0\ "/>
    <numFmt numFmtId="171" formatCode="0.0"/>
  </numFmts>
  <fonts count="25" x14ac:knownFonts="1">
    <font>
      <sz val="10"/>
      <color theme="1"/>
      <name val="Arial"/>
      <family val="2"/>
    </font>
    <font>
      <sz val="10"/>
      <name val="Arial"/>
      <family val="2"/>
    </font>
    <font>
      <b/>
      <sz val="8"/>
      <name val="Arial"/>
      <family val="2"/>
    </font>
    <font>
      <u val="singleAccounting"/>
      <sz val="10"/>
      <color indexed="8"/>
      <name val="Arial"/>
      <family val="2"/>
    </font>
    <font>
      <b/>
      <sz val="9"/>
      <color indexed="81"/>
      <name val="Tahoma"/>
      <family val="2"/>
    </font>
    <font>
      <b/>
      <sz val="10"/>
      <color theme="1"/>
      <name val="Arial"/>
      <family val="2"/>
    </font>
    <font>
      <sz val="10"/>
      <color rgb="FFFF0000"/>
      <name val="Arial"/>
      <family val="2"/>
    </font>
    <font>
      <sz val="10"/>
      <color theme="1"/>
      <name val="Calibri"/>
      <family val="2"/>
    </font>
    <font>
      <u val="singleAccounting"/>
      <sz val="10"/>
      <color theme="1"/>
      <name val="Arial"/>
      <family val="2"/>
    </font>
    <font>
      <sz val="8"/>
      <name val="Arial"/>
      <family val="2"/>
    </font>
    <font>
      <b/>
      <sz val="10"/>
      <name val="Arial"/>
      <family val="2"/>
    </font>
    <font>
      <sz val="11"/>
      <color indexed="8"/>
      <name val="Calibri"/>
      <family val="2"/>
      <scheme val="minor"/>
    </font>
    <font>
      <sz val="8"/>
      <name val="Arial"/>
      <family val="2"/>
    </font>
    <font>
      <b/>
      <sz val="8"/>
      <name val="Arial"/>
      <family val="2"/>
    </font>
    <font>
      <b/>
      <sz val="8"/>
      <name val="Calibri"/>
      <family val="2"/>
    </font>
    <font>
      <sz val="10"/>
      <color rgb="FFC00000"/>
      <name val="Arial"/>
      <family val="2"/>
    </font>
    <font>
      <sz val="9"/>
      <color indexed="81"/>
      <name val="Tahoma"/>
      <family val="2"/>
    </font>
    <font>
      <b/>
      <sz val="8"/>
      <color rgb="FFFF0000"/>
      <name val="Arial"/>
      <family val="2"/>
    </font>
    <font>
      <b/>
      <sz val="9"/>
      <color theme="1"/>
      <name val="Arial"/>
      <family val="2"/>
    </font>
    <font>
      <sz val="9"/>
      <color theme="1"/>
      <name val="Arial"/>
      <family val="2"/>
    </font>
    <font>
      <u/>
      <sz val="10"/>
      <color theme="1"/>
      <name val="Arial"/>
      <family val="2"/>
    </font>
    <font>
      <sz val="9"/>
      <color indexed="81"/>
      <name val="Tahoma"/>
      <charset val="1"/>
    </font>
    <font>
      <b/>
      <sz val="9"/>
      <color indexed="81"/>
      <name val="Tahoma"/>
      <charset val="1"/>
    </font>
    <font>
      <b/>
      <sz val="8"/>
      <name val="Arial"/>
    </font>
    <font>
      <sz val="8"/>
      <name val="Arial"/>
    </font>
  </fonts>
  <fills count="7">
    <fill>
      <patternFill patternType="none"/>
    </fill>
    <fill>
      <patternFill patternType="gray125"/>
    </fill>
    <fill>
      <patternFill patternType="solid">
        <fgColor theme="5" tint="0.79998168889431442"/>
        <bgColor indexed="65"/>
      </patternFill>
    </fill>
    <fill>
      <patternFill patternType="solid">
        <fgColor theme="4" tint="0.79998168889431442"/>
        <bgColor indexed="64"/>
      </patternFill>
    </fill>
    <fill>
      <patternFill patternType="solid">
        <fgColor theme="5" tint="0.79998168889431442"/>
        <bgColor indexed="64"/>
      </patternFill>
    </fill>
    <fill>
      <patternFill patternType="solid">
        <fgColor theme="4" tint="0.79998168889431442"/>
        <bgColor indexed="65"/>
      </patternFill>
    </fill>
    <fill>
      <patternFill patternType="solid">
        <fgColor theme="5" tint="0.59996337778862885"/>
        <bgColor indexed="64"/>
      </patternFill>
    </fill>
  </fills>
  <borders count="16">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2" fillId="0" borderId="0" applyNumberFormat="0" applyFill="0" applyBorder="0" applyProtection="0"/>
    <xf numFmtId="0" fontId="11" fillId="0" borderId="0"/>
  </cellStyleXfs>
  <cellXfs count="258">
    <xf numFmtId="0" fontId="0" fillId="0" borderId="0" xfId="0"/>
    <xf numFmtId="0" fontId="5" fillId="3" borderId="0" xfId="0" applyFont="1" applyFill="1" applyProtection="1"/>
    <xf numFmtId="0" fontId="5" fillId="3" borderId="0" xfId="0" applyFont="1" applyFill="1" applyProtection="1">
      <protection hidden="1"/>
    </xf>
    <xf numFmtId="0" fontId="0" fillId="3" borderId="0" xfId="0" applyFill="1" applyProtection="1">
      <protection hidden="1"/>
    </xf>
    <xf numFmtId="165" fontId="0" fillId="3" borderId="0" xfId="0" applyNumberFormat="1" applyFill="1" applyProtection="1"/>
    <xf numFmtId="0" fontId="0" fillId="3" borderId="0" xfId="0" applyFill="1" applyProtection="1"/>
    <xf numFmtId="165" fontId="0" fillId="3" borderId="0" xfId="0" applyNumberFormat="1" applyFont="1" applyFill="1" applyProtection="1"/>
    <xf numFmtId="9" fontId="0" fillId="3" borderId="0" xfId="0" applyNumberFormat="1" applyFill="1" applyProtection="1">
      <protection hidden="1"/>
    </xf>
    <xf numFmtId="10" fontId="0" fillId="3" borderId="0" xfId="0" applyNumberFormat="1" applyFill="1" applyProtection="1">
      <protection hidden="1"/>
    </xf>
    <xf numFmtId="164" fontId="0" fillId="3" borderId="0" xfId="0" applyNumberFormat="1" applyFill="1" applyProtection="1"/>
    <xf numFmtId="9" fontId="0" fillId="3" borderId="0" xfId="0" applyNumberFormat="1" applyFill="1" applyProtection="1"/>
    <xf numFmtId="0" fontId="0" fillId="3" borderId="0" xfId="0" applyFont="1" applyFill="1" applyProtection="1"/>
    <xf numFmtId="0" fontId="0" fillId="0" borderId="0" xfId="0" applyFill="1" applyProtection="1">
      <protection locked="0"/>
    </xf>
    <xf numFmtId="164" fontId="0" fillId="0" borderId="0" xfId="0" applyNumberFormat="1" applyFill="1" applyProtection="1">
      <protection locked="0"/>
    </xf>
    <xf numFmtId="164" fontId="0" fillId="3" borderId="0" xfId="0" applyNumberFormat="1" applyFill="1" applyProtection="1">
      <protection hidden="1"/>
    </xf>
    <xf numFmtId="0" fontId="0" fillId="3" borderId="0" xfId="0" applyFill="1" applyAlignment="1" applyProtection="1">
      <alignment horizontal="right"/>
      <protection hidden="1"/>
    </xf>
    <xf numFmtId="0" fontId="0" fillId="3" borderId="0" xfId="0" applyFill="1"/>
    <xf numFmtId="14" fontId="0" fillId="3" borderId="0" xfId="0" applyNumberFormat="1" applyFill="1"/>
    <xf numFmtId="164" fontId="0" fillId="3" borderId="0" xfId="0" applyNumberFormat="1" applyFill="1"/>
    <xf numFmtId="9" fontId="0" fillId="3" borderId="0" xfId="0" applyNumberFormat="1" applyFill="1"/>
    <xf numFmtId="165" fontId="0" fillId="3" borderId="0" xfId="0" applyNumberFormat="1" applyFill="1"/>
    <xf numFmtId="165" fontId="0" fillId="3" borderId="0" xfId="0" applyNumberFormat="1" applyFill="1" applyProtection="1">
      <protection hidden="1"/>
    </xf>
    <xf numFmtId="164" fontId="0" fillId="0" borderId="0" xfId="0" applyNumberFormat="1" applyFont="1" applyFill="1" applyProtection="1">
      <protection locked="0"/>
    </xf>
    <xf numFmtId="164" fontId="6" fillId="3" borderId="0" xfId="0" applyNumberFormat="1" applyFont="1" applyFill="1"/>
    <xf numFmtId="6" fontId="0" fillId="3" borderId="0" xfId="0" applyNumberFormat="1" applyFill="1" applyProtection="1">
      <protection hidden="1"/>
    </xf>
    <xf numFmtId="6" fontId="1" fillId="3" borderId="0" xfId="0" applyNumberFormat="1" applyFont="1" applyFill="1" applyProtection="1">
      <protection hidden="1"/>
    </xf>
    <xf numFmtId="0" fontId="7" fillId="3" borderId="0" xfId="0" applyFont="1" applyFill="1"/>
    <xf numFmtId="10" fontId="0" fillId="3" borderId="0" xfId="0" applyNumberFormat="1" applyFill="1"/>
    <xf numFmtId="164" fontId="8" fillId="3" borderId="0" xfId="0" applyNumberFormat="1" applyFont="1" applyFill="1" applyProtection="1"/>
    <xf numFmtId="166" fontId="0" fillId="3" borderId="0" xfId="0" applyNumberFormat="1" applyFill="1" applyProtection="1">
      <protection hidden="1"/>
    </xf>
    <xf numFmtId="3" fontId="0" fillId="3" borderId="0" xfId="0" applyNumberFormat="1" applyFill="1" applyProtection="1">
      <protection hidden="1"/>
    </xf>
    <xf numFmtId="42" fontId="0" fillId="0" borderId="0" xfId="0" applyNumberFormat="1" applyFill="1" applyProtection="1">
      <protection locked="0" hidden="1"/>
    </xf>
    <xf numFmtId="5" fontId="0" fillId="3" borderId="0" xfId="0" applyNumberFormat="1" applyFill="1" applyProtection="1">
      <protection hidden="1"/>
    </xf>
    <xf numFmtId="3" fontId="0" fillId="3" borderId="0" xfId="0" applyNumberFormat="1" applyFill="1"/>
    <xf numFmtId="164" fontId="0" fillId="0" borderId="0" xfId="0" applyNumberFormat="1" applyFill="1" applyBorder="1" applyProtection="1">
      <protection locked="0"/>
    </xf>
    <xf numFmtId="0" fontId="0" fillId="3" borderId="0" xfId="0" applyFill="1" applyAlignment="1" applyProtection="1">
      <alignment vertical="top"/>
      <protection hidden="1"/>
    </xf>
    <xf numFmtId="6" fontId="0" fillId="3" borderId="0" xfId="0" applyNumberFormat="1" applyFill="1" applyAlignment="1" applyProtection="1">
      <alignment vertical="top"/>
      <protection hidden="1"/>
    </xf>
    <xf numFmtId="0" fontId="0" fillId="3" borderId="0" xfId="0" applyFill="1" applyAlignment="1" applyProtection="1">
      <alignment vertical="top"/>
    </xf>
    <xf numFmtId="0" fontId="5" fillId="3" borderId="0" xfId="0" applyFont="1" applyFill="1" applyAlignment="1" applyProtection="1">
      <alignment vertical="top"/>
    </xf>
    <xf numFmtId="165" fontId="0" fillId="3" borderId="0" xfId="0" applyNumberFormat="1" applyFill="1" applyAlignment="1" applyProtection="1">
      <alignment vertical="top"/>
    </xf>
    <xf numFmtId="164" fontId="0" fillId="0" borderId="0" xfId="0" applyNumberFormat="1" applyFont="1" applyFill="1" applyAlignment="1" applyProtection="1">
      <alignment vertical="top"/>
      <protection locked="0"/>
    </xf>
    <xf numFmtId="164" fontId="0" fillId="0" borderId="0" xfId="0" applyNumberFormat="1" applyFill="1" applyAlignment="1" applyProtection="1">
      <alignment vertical="top"/>
      <protection locked="0"/>
    </xf>
    <xf numFmtId="164" fontId="0" fillId="3" borderId="0" xfId="0" applyNumberFormat="1" applyFill="1" applyAlignment="1" applyProtection="1">
      <alignment vertical="top"/>
      <protection hidden="1"/>
    </xf>
    <xf numFmtId="9" fontId="0" fillId="3" borderId="0" xfId="0" applyNumberFormat="1" applyFill="1" applyAlignment="1" applyProtection="1">
      <alignment vertical="top"/>
      <protection hidden="1"/>
    </xf>
    <xf numFmtId="165" fontId="0" fillId="3" borderId="0" xfId="0" applyNumberFormat="1" applyFill="1" applyAlignment="1" applyProtection="1">
      <alignment vertical="top"/>
      <protection hidden="1"/>
    </xf>
    <xf numFmtId="0" fontId="5" fillId="3" borderId="0" xfId="0" applyFont="1" applyFill="1"/>
    <xf numFmtId="10" fontId="0" fillId="3" borderId="0" xfId="0" applyNumberFormat="1" applyFill="1" applyProtection="1"/>
    <xf numFmtId="0" fontId="5" fillId="3" borderId="0" xfId="0" applyFont="1" applyFill="1"/>
    <xf numFmtId="164" fontId="6" fillId="3" borderId="0" xfId="0" applyNumberFormat="1" applyFont="1" applyFill="1" applyProtection="1"/>
    <xf numFmtId="42" fontId="0" fillId="3" borderId="0" xfId="0" applyNumberFormat="1" applyFill="1" applyProtection="1"/>
    <xf numFmtId="42" fontId="6" fillId="3" borderId="0" xfId="0" applyNumberFormat="1" applyFont="1" applyFill="1" applyProtection="1"/>
    <xf numFmtId="42" fontId="0" fillId="3" borderId="0" xfId="0" applyNumberFormat="1" applyFill="1" applyProtection="1">
      <protection hidden="1"/>
    </xf>
    <xf numFmtId="0" fontId="5" fillId="3" borderId="0" xfId="0" applyFont="1" applyFill="1"/>
    <xf numFmtId="0" fontId="5" fillId="3" borderId="0" xfId="0" applyFont="1" applyFill="1"/>
    <xf numFmtId="0" fontId="0" fillId="3" borderId="0" xfId="0" applyFill="1" applyBorder="1"/>
    <xf numFmtId="6" fontId="0" fillId="3" borderId="1" xfId="0" applyNumberFormat="1" applyFill="1" applyBorder="1" applyProtection="1">
      <protection hidden="1"/>
    </xf>
    <xf numFmtId="0" fontId="0" fillId="3" borderId="1" xfId="0" applyFill="1" applyBorder="1" applyProtection="1">
      <protection hidden="1"/>
    </xf>
    <xf numFmtId="5" fontId="0" fillId="3" borderId="1" xfId="0" applyNumberFormat="1" applyFill="1" applyBorder="1" applyProtection="1">
      <protection hidden="1"/>
    </xf>
    <xf numFmtId="165" fontId="0" fillId="0" borderId="3" xfId="0" applyNumberFormat="1" applyFill="1" applyBorder="1" applyProtection="1">
      <protection locked="0"/>
    </xf>
    <xf numFmtId="165" fontId="0" fillId="3" borderId="3" xfId="0" applyNumberFormat="1" applyFill="1" applyBorder="1" applyProtection="1"/>
    <xf numFmtId="164" fontId="0" fillId="3" borderId="3" xfId="0" applyNumberFormat="1" applyFill="1" applyBorder="1" applyAlignment="1" applyProtection="1">
      <alignment horizontal="right"/>
    </xf>
    <xf numFmtId="0" fontId="5" fillId="3" borderId="0" xfId="0" applyFont="1" applyFill="1" applyBorder="1"/>
    <xf numFmtId="10" fontId="0" fillId="3" borderId="0" xfId="0" applyNumberFormat="1" applyFill="1" applyBorder="1" applyProtection="1"/>
    <xf numFmtId="164" fontId="0" fillId="4" borderId="0" xfId="0" applyNumberFormat="1" applyFill="1" applyProtection="1">
      <protection hidden="1"/>
    </xf>
    <xf numFmtId="164" fontId="6" fillId="4" borderId="0" xfId="0" applyNumberFormat="1" applyFont="1" applyFill="1" applyProtection="1">
      <protection hidden="1"/>
    </xf>
    <xf numFmtId="42" fontId="0" fillId="3" borderId="0" xfId="0" applyNumberFormat="1" applyFill="1"/>
    <xf numFmtId="0" fontId="5" fillId="3" borderId="0" xfId="0" applyFont="1" applyFill="1" applyAlignment="1">
      <alignment horizontal="left"/>
    </xf>
    <xf numFmtId="1" fontId="5" fillId="3" borderId="0" xfId="0" applyNumberFormat="1" applyFont="1" applyFill="1"/>
    <xf numFmtId="1" fontId="5" fillId="3" borderId="0" xfId="0" applyNumberFormat="1" applyFont="1" applyFill="1" applyAlignment="1">
      <alignment horizontal="center"/>
    </xf>
    <xf numFmtId="0" fontId="0" fillId="3" borderId="0" xfId="0" applyFill="1" applyAlignment="1">
      <alignment horizontal="center"/>
    </xf>
    <xf numFmtId="0" fontId="5" fillId="3" borderId="0" xfId="0" applyFont="1" applyFill="1" applyAlignment="1">
      <alignment horizontal="center"/>
    </xf>
    <xf numFmtId="0" fontId="5" fillId="3" borderId="0" xfId="0" applyFont="1" applyFill="1" applyAlignment="1"/>
    <xf numFmtId="168" fontId="0" fillId="3" borderId="0" xfId="0" applyNumberFormat="1" applyFill="1" applyAlignment="1">
      <alignment horizontal="right"/>
    </xf>
    <xf numFmtId="0" fontId="5" fillId="3" borderId="0" xfId="0" applyFont="1" applyFill="1" applyAlignment="1">
      <alignment horizontal="right"/>
    </xf>
    <xf numFmtId="1" fontId="5" fillId="3" borderId="5" xfId="0" applyNumberFormat="1" applyFont="1" applyFill="1" applyBorder="1" applyAlignment="1">
      <alignment horizontal="right"/>
    </xf>
    <xf numFmtId="0" fontId="5" fillId="3" borderId="5" xfId="0" applyFont="1" applyFill="1" applyBorder="1"/>
    <xf numFmtId="0" fontId="0" fillId="3" borderId="5" xfId="0" applyFill="1" applyBorder="1"/>
    <xf numFmtId="0" fontId="5" fillId="3" borderId="1" xfId="0" applyFont="1" applyFill="1" applyBorder="1" applyAlignment="1">
      <alignment horizontal="right"/>
    </xf>
    <xf numFmtId="1" fontId="5" fillId="3" borderId="2" xfId="0" applyNumberFormat="1" applyFont="1" applyFill="1" applyBorder="1" applyAlignment="1">
      <alignment horizontal="right"/>
    </xf>
    <xf numFmtId="1" fontId="5" fillId="3" borderId="1" xfId="0" applyNumberFormat="1" applyFont="1" applyFill="1" applyBorder="1"/>
    <xf numFmtId="0" fontId="0" fillId="3" borderId="1" xfId="0" applyFill="1" applyBorder="1"/>
    <xf numFmtId="164" fontId="3" fillId="0" borderId="0" xfId="0" applyNumberFormat="1" applyFont="1" applyFill="1" applyAlignment="1" applyProtection="1">
      <alignment vertical="top"/>
      <protection locked="0"/>
    </xf>
    <xf numFmtId="164" fontId="3" fillId="0" borderId="0" xfId="0" applyNumberFormat="1" applyFont="1" applyFill="1" applyBorder="1" applyProtection="1">
      <protection locked="0"/>
    </xf>
    <xf numFmtId="164" fontId="3" fillId="0" borderId="0" xfId="0" applyNumberFormat="1" applyFont="1" applyFill="1" applyProtection="1">
      <protection locked="0"/>
    </xf>
    <xf numFmtId="3" fontId="5" fillId="3" borderId="0" xfId="0" applyNumberFormat="1" applyFont="1" applyFill="1"/>
    <xf numFmtId="3" fontId="5" fillId="3" borderId="5" xfId="0" applyNumberFormat="1" applyFont="1" applyFill="1" applyBorder="1"/>
    <xf numFmtId="3" fontId="5" fillId="3" borderId="1" xfId="0" applyNumberFormat="1" applyFont="1" applyFill="1" applyBorder="1"/>
    <xf numFmtId="0" fontId="5" fillId="0" borderId="6" xfId="0" applyFont="1" applyFill="1" applyBorder="1" applyAlignment="1" applyProtection="1">
      <alignment horizontal="center"/>
      <protection locked="0" hidden="1"/>
    </xf>
    <xf numFmtId="0" fontId="5" fillId="3" borderId="7" xfId="0" applyFont="1" applyFill="1" applyBorder="1" applyAlignment="1" applyProtection="1">
      <alignment horizontal="center"/>
      <protection hidden="1"/>
    </xf>
    <xf numFmtId="0" fontId="5" fillId="0" borderId="0" xfId="0" applyFont="1" applyFill="1" applyBorder="1" applyAlignment="1" applyProtection="1">
      <alignment horizontal="center"/>
      <protection locked="0"/>
    </xf>
    <xf numFmtId="0" fontId="0" fillId="3" borderId="0" xfId="0" applyFill="1" applyAlignment="1">
      <alignment horizontal="right"/>
    </xf>
    <xf numFmtId="42" fontId="6" fillId="5" borderId="0" xfId="0" applyNumberFormat="1" applyFont="1" applyFill="1" applyProtection="1"/>
    <xf numFmtId="3" fontId="5" fillId="3" borderId="1" xfId="0" applyNumberFormat="1" applyFont="1" applyFill="1" applyBorder="1" applyProtection="1"/>
    <xf numFmtId="0" fontId="9" fillId="0" borderId="0" xfId="0" applyFont="1"/>
    <xf numFmtId="42" fontId="0" fillId="0" borderId="0" xfId="0" applyNumberFormat="1" applyFont="1" applyFill="1" applyProtection="1">
      <protection locked="0"/>
    </xf>
    <xf numFmtId="0" fontId="2" fillId="0" borderId="0" xfId="0" applyFont="1"/>
    <xf numFmtId="164" fontId="8" fillId="0" borderId="0" xfId="0" applyNumberFormat="1" applyFont="1" applyFill="1" applyProtection="1">
      <protection locked="0"/>
    </xf>
    <xf numFmtId="10" fontId="0" fillId="3" borderId="0" xfId="0" applyNumberFormat="1" applyFill="1" applyBorder="1" applyAlignment="1" applyProtection="1">
      <alignment horizontal="right"/>
    </xf>
    <xf numFmtId="3" fontId="0" fillId="3" borderId="0" xfId="0" applyNumberFormat="1" applyFill="1" applyBorder="1" applyProtection="1"/>
    <xf numFmtId="10" fontId="9" fillId="0" borderId="0" xfId="0" applyNumberFormat="1" applyFont="1"/>
    <xf numFmtId="42" fontId="6" fillId="2" borderId="0" xfId="0" applyNumberFormat="1" applyFont="1" applyFill="1" applyProtection="1"/>
    <xf numFmtId="0" fontId="5" fillId="0" borderId="0" xfId="0" applyFont="1"/>
    <xf numFmtId="164" fontId="8" fillId="0" borderId="0" xfId="0" applyNumberFormat="1" applyFont="1" applyFill="1" applyBorder="1" applyProtection="1">
      <protection locked="0"/>
    </xf>
    <xf numFmtId="0" fontId="11" fillId="0" borderId="0" xfId="2"/>
    <xf numFmtId="0" fontId="13" fillId="0" borderId="0" xfId="2" applyFont="1"/>
    <xf numFmtId="0" fontId="11" fillId="0" borderId="0" xfId="2"/>
    <xf numFmtId="0" fontId="12" fillId="0" borderId="0" xfId="2" applyFont="1"/>
    <xf numFmtId="0" fontId="2" fillId="0" borderId="0" xfId="2" applyFont="1"/>
    <xf numFmtId="1" fontId="9" fillId="0" borderId="0" xfId="0" applyNumberFormat="1" applyFont="1"/>
    <xf numFmtId="0" fontId="1" fillId="3" borderId="0" xfId="0" applyFont="1" applyFill="1" applyProtection="1"/>
    <xf numFmtId="0" fontId="1" fillId="3" borderId="0" xfId="0" applyFont="1" applyFill="1" applyProtection="1">
      <protection hidden="1"/>
    </xf>
    <xf numFmtId="0" fontId="1" fillId="3" borderId="0" xfId="0" applyFont="1" applyFill="1"/>
    <xf numFmtId="0" fontId="10" fillId="3" borderId="0" xfId="0" applyFont="1" applyFill="1" applyProtection="1">
      <protection hidden="1"/>
    </xf>
    <xf numFmtId="1" fontId="1" fillId="3" borderId="0" xfId="0" applyNumberFormat="1" applyFont="1" applyFill="1" applyProtection="1">
      <protection hidden="1"/>
    </xf>
    <xf numFmtId="9" fontId="1" fillId="3" borderId="0" xfId="0" applyNumberFormat="1" applyFont="1" applyFill="1" applyProtection="1">
      <protection hidden="1"/>
    </xf>
    <xf numFmtId="164" fontId="1" fillId="3" borderId="0" xfId="0" applyNumberFormat="1" applyFont="1" applyFill="1" applyProtection="1">
      <protection hidden="1"/>
    </xf>
    <xf numFmtId="3" fontId="1" fillId="3" borderId="0" xfId="0" applyNumberFormat="1" applyFont="1" applyFill="1" applyProtection="1">
      <protection hidden="1"/>
    </xf>
    <xf numFmtId="1" fontId="2" fillId="0" borderId="0" xfId="0" applyNumberFormat="1" applyFont="1"/>
    <xf numFmtId="0" fontId="2" fillId="0" borderId="0" xfId="2" quotePrefix="1" applyFont="1"/>
    <xf numFmtId="1" fontId="0" fillId="3" borderId="3" xfId="0" applyNumberFormat="1" applyFill="1" applyBorder="1" applyProtection="1"/>
    <xf numFmtId="10" fontId="0" fillId="0" borderId="3" xfId="0" applyNumberFormat="1" applyFill="1" applyBorder="1" applyProtection="1">
      <protection locked="0"/>
    </xf>
    <xf numFmtId="10" fontId="15" fillId="3" borderId="0" xfId="0" applyNumberFormat="1" applyFont="1" applyFill="1" applyProtection="1"/>
    <xf numFmtId="165" fontId="9" fillId="0" borderId="0" xfId="0" applyNumberFormat="1" applyFont="1"/>
    <xf numFmtId="0" fontId="9" fillId="4" borderId="0" xfId="0" applyFont="1" applyFill="1"/>
    <xf numFmtId="0" fontId="13" fillId="4" borderId="0" xfId="2" applyFont="1" applyFill="1"/>
    <xf numFmtId="0" fontId="2" fillId="4" borderId="0" xfId="2" applyFont="1" applyFill="1"/>
    <xf numFmtId="0" fontId="9" fillId="0" borderId="0" xfId="0" applyFont="1" applyFill="1"/>
    <xf numFmtId="0" fontId="0" fillId="0" borderId="0" xfId="0" applyFill="1"/>
    <xf numFmtId="1" fontId="9" fillId="0" borderId="0" xfId="0" applyNumberFormat="1" applyFont="1" applyFill="1"/>
    <xf numFmtId="165" fontId="9" fillId="0" borderId="0" xfId="0" applyNumberFormat="1" applyFont="1" applyFill="1"/>
    <xf numFmtId="164" fontId="0" fillId="3" borderId="0" xfId="0" applyNumberFormat="1" applyFont="1" applyFill="1" applyProtection="1"/>
    <xf numFmtId="2" fontId="2" fillId="4" borderId="0" xfId="2" applyNumberFormat="1" applyFont="1" applyFill="1"/>
    <xf numFmtId="2" fontId="9" fillId="0" borderId="0" xfId="0" applyNumberFormat="1" applyFont="1" applyFill="1"/>
    <xf numFmtId="2" fontId="0" fillId="0" borderId="0" xfId="0" applyNumberFormat="1" applyFont="1" applyFill="1"/>
    <xf numFmtId="0" fontId="2" fillId="4" borderId="0" xfId="2" quotePrefix="1" applyFont="1" applyFill="1"/>
    <xf numFmtId="169" fontId="1" fillId="3" borderId="0" xfId="0" applyNumberFormat="1" applyFont="1" applyFill="1" applyProtection="1">
      <protection hidden="1"/>
    </xf>
    <xf numFmtId="42" fontId="1" fillId="3" borderId="0" xfId="0" applyNumberFormat="1" applyFont="1" applyFill="1" applyProtection="1">
      <protection hidden="1"/>
    </xf>
    <xf numFmtId="6" fontId="1" fillId="3" borderId="0" xfId="0" applyNumberFormat="1" applyFont="1" applyFill="1" applyProtection="1"/>
    <xf numFmtId="0" fontId="10" fillId="3" borderId="0" xfId="0" applyFont="1" applyFill="1" applyProtection="1"/>
    <xf numFmtId="164" fontId="0" fillId="4" borderId="8" xfId="0" applyNumberFormat="1" applyFill="1" applyBorder="1" applyProtection="1">
      <protection hidden="1"/>
    </xf>
    <xf numFmtId="164" fontId="0" fillId="4" borderId="0" xfId="0" applyNumberFormat="1" applyFill="1" applyBorder="1" applyProtection="1">
      <protection hidden="1"/>
    </xf>
    <xf numFmtId="170" fontId="0" fillId="4" borderId="0" xfId="0" applyNumberFormat="1" applyFill="1" applyBorder="1" applyProtection="1">
      <protection hidden="1"/>
    </xf>
    <xf numFmtId="3" fontId="0" fillId="4" borderId="0" xfId="0" applyNumberFormat="1" applyFill="1" applyBorder="1" applyProtection="1">
      <protection hidden="1"/>
    </xf>
    <xf numFmtId="165" fontId="0" fillId="4" borderId="3" xfId="0" applyNumberFormat="1" applyFill="1" applyBorder="1" applyProtection="1">
      <protection hidden="1"/>
    </xf>
    <xf numFmtId="165" fontId="0" fillId="4" borderId="1" xfId="0" applyNumberFormat="1" applyFill="1" applyBorder="1" applyProtection="1">
      <protection hidden="1"/>
    </xf>
    <xf numFmtId="6" fontId="0" fillId="4" borderId="3" xfId="0" applyNumberFormat="1" applyFill="1" applyBorder="1" applyProtection="1">
      <protection hidden="1"/>
    </xf>
    <xf numFmtId="0" fontId="0" fillId="4" borderId="0" xfId="0" applyFill="1" applyBorder="1" applyProtection="1"/>
    <xf numFmtId="0" fontId="0" fillId="4" borderId="0" xfId="0" applyFill="1" applyBorder="1" applyProtection="1">
      <protection hidden="1"/>
    </xf>
    <xf numFmtId="0" fontId="0" fillId="4" borderId="3" xfId="0" applyFill="1" applyBorder="1" applyProtection="1">
      <protection hidden="1"/>
    </xf>
    <xf numFmtId="164" fontId="0" fillId="6" borderId="10" xfId="0" applyNumberFormat="1" applyFill="1" applyBorder="1" applyProtection="1">
      <protection hidden="1"/>
    </xf>
    <xf numFmtId="164" fontId="0" fillId="6" borderId="11" xfId="0" applyNumberFormat="1" applyFill="1" applyBorder="1" applyProtection="1">
      <protection hidden="1"/>
    </xf>
    <xf numFmtId="0" fontId="0" fillId="6" borderId="11" xfId="0" applyFill="1" applyBorder="1" applyProtection="1">
      <protection hidden="1"/>
    </xf>
    <xf numFmtId="3" fontId="0" fillId="6" borderId="11" xfId="0" applyNumberFormat="1" applyFill="1" applyBorder="1" applyProtection="1">
      <protection hidden="1"/>
    </xf>
    <xf numFmtId="170" fontId="0" fillId="6" borderId="6" xfId="0" applyNumberFormat="1" applyFill="1" applyBorder="1" applyProtection="1">
      <protection hidden="1"/>
    </xf>
    <xf numFmtId="0" fontId="0" fillId="6" borderId="7" xfId="0" applyFill="1" applyBorder="1" applyProtection="1">
      <protection hidden="1"/>
    </xf>
    <xf numFmtId="6" fontId="2" fillId="0" borderId="0" xfId="0" applyNumberFormat="1" applyFont="1" applyFill="1"/>
    <xf numFmtId="6" fontId="0" fillId="0" borderId="0" xfId="0" applyNumberFormat="1" applyFill="1"/>
    <xf numFmtId="6" fontId="17" fillId="0" borderId="0" xfId="0" applyNumberFormat="1" applyFont="1" applyFill="1"/>
    <xf numFmtId="0" fontId="0" fillId="0" borderId="0" xfId="0" applyFont="1" applyFill="1"/>
    <xf numFmtId="6" fontId="0" fillId="4" borderId="3" xfId="0" applyNumberFormat="1" applyFill="1" applyBorder="1" applyProtection="1"/>
    <xf numFmtId="1" fontId="2" fillId="0" borderId="0" xfId="0" applyNumberFormat="1" applyFont="1" applyFill="1"/>
    <xf numFmtId="6" fontId="2" fillId="0" borderId="0" xfId="1" applyNumberFormat="1" applyFont="1" applyFill="1" applyAlignment="1"/>
    <xf numFmtId="6" fontId="17" fillId="0" borderId="0" xfId="1" applyNumberFormat="1" applyFont="1" applyFill="1" applyAlignment="1"/>
    <xf numFmtId="3" fontId="5" fillId="0" borderId="1" xfId="0" applyNumberFormat="1" applyFont="1" applyFill="1" applyBorder="1" applyProtection="1">
      <protection locked="0"/>
    </xf>
    <xf numFmtId="1" fontId="5" fillId="3" borderId="1" xfId="0" applyNumberFormat="1" applyFont="1" applyFill="1" applyBorder="1" applyProtection="1"/>
    <xf numFmtId="3" fontId="5" fillId="0" borderId="2" xfId="0" applyNumberFormat="1" applyFont="1" applyFill="1" applyBorder="1" applyProtection="1">
      <protection locked="0"/>
    </xf>
    <xf numFmtId="3" fontId="5" fillId="0" borderId="0" xfId="0" applyNumberFormat="1" applyFont="1" applyFill="1" applyBorder="1" applyProtection="1">
      <protection locked="0"/>
    </xf>
    <xf numFmtId="3" fontId="5" fillId="3" borderId="8" xfId="0" applyNumberFormat="1" applyFont="1" applyFill="1" applyBorder="1"/>
    <xf numFmtId="42" fontId="6" fillId="0" borderId="0" xfId="0" applyNumberFormat="1" applyFont="1" applyFill="1" applyProtection="1">
      <protection locked="0"/>
    </xf>
    <xf numFmtId="42" fontId="0" fillId="0" borderId="0" xfId="0" applyNumberFormat="1" applyFill="1" applyProtection="1">
      <protection locked="0"/>
    </xf>
    <xf numFmtId="3" fontId="5" fillId="3" borderId="0" xfId="0" applyNumberFormat="1" applyFont="1" applyFill="1" applyBorder="1"/>
    <xf numFmtId="0" fontId="19" fillId="3" borderId="0" xfId="0" applyFont="1" applyFill="1"/>
    <xf numFmtId="3" fontId="18" fillId="3" borderId="0" xfId="0" applyNumberFormat="1" applyFont="1" applyFill="1"/>
    <xf numFmtId="1" fontId="0" fillId="3" borderId="1" xfId="0" applyNumberFormat="1" applyFont="1" applyFill="1" applyBorder="1"/>
    <xf numFmtId="0" fontId="0" fillId="3" borderId="0" xfId="0" applyFont="1" applyFill="1"/>
    <xf numFmtId="3" fontId="19" fillId="3" borderId="0" xfId="0" applyNumberFormat="1" applyFont="1" applyFill="1"/>
    <xf numFmtId="1" fontId="5" fillId="3" borderId="2" xfId="0" applyNumberFormat="1" applyFont="1" applyFill="1" applyBorder="1"/>
    <xf numFmtId="1" fontId="5" fillId="3" borderId="9" xfId="0" applyNumberFormat="1" applyFont="1" applyFill="1" applyBorder="1"/>
    <xf numFmtId="3" fontId="0" fillId="0" borderId="0" xfId="0" applyNumberFormat="1" applyFont="1" applyFill="1" applyProtection="1">
      <protection locked="0"/>
    </xf>
    <xf numFmtId="3" fontId="19" fillId="3" borderId="1" xfId="0" applyNumberFormat="1" applyFont="1" applyFill="1" applyBorder="1" applyProtection="1"/>
    <xf numFmtId="0" fontId="0" fillId="3" borderId="12" xfId="0" applyFill="1" applyBorder="1" applyProtection="1">
      <protection hidden="1"/>
    </xf>
    <xf numFmtId="165" fontId="0" fillId="3" borderId="4" xfId="0" applyNumberFormat="1" applyFill="1" applyBorder="1" applyAlignment="1" applyProtection="1">
      <alignment vertical="top"/>
      <protection hidden="1"/>
    </xf>
    <xf numFmtId="0" fontId="0" fillId="3" borderId="0" xfId="0" applyFill="1" applyBorder="1" applyProtection="1">
      <protection hidden="1"/>
    </xf>
    <xf numFmtId="42" fontId="0" fillId="3" borderId="0" xfId="0" applyNumberFormat="1" applyFill="1" applyBorder="1" applyProtection="1"/>
    <xf numFmtId="165" fontId="0" fillId="3" borderId="1" xfId="0" applyNumberFormat="1" applyFill="1" applyBorder="1"/>
    <xf numFmtId="9" fontId="0" fillId="3" borderId="3" xfId="0" applyNumberFormat="1" applyFill="1" applyBorder="1" applyProtection="1"/>
    <xf numFmtId="166" fontId="0" fillId="3" borderId="0" xfId="0" applyNumberFormat="1" applyFill="1" applyAlignment="1" applyProtection="1">
      <alignment horizontal="left"/>
      <protection hidden="1"/>
    </xf>
    <xf numFmtId="42" fontId="0" fillId="3" borderId="3" xfId="0" applyNumberFormat="1" applyFill="1" applyBorder="1" applyProtection="1">
      <protection locked="0"/>
    </xf>
    <xf numFmtId="3" fontId="0" fillId="3" borderId="0" xfId="0" applyNumberFormat="1" applyFill="1" applyAlignment="1" applyProtection="1">
      <alignment vertical="top"/>
      <protection hidden="1"/>
    </xf>
    <xf numFmtId="164" fontId="0" fillId="0" borderId="0" xfId="0" applyNumberFormat="1" applyFont="1" applyFill="1" applyBorder="1" applyProtection="1">
      <protection locked="0"/>
    </xf>
    <xf numFmtId="6" fontId="0" fillId="4" borderId="1" xfId="0" applyNumberFormat="1" applyFill="1" applyBorder="1" applyProtection="1">
      <protection hidden="1"/>
    </xf>
    <xf numFmtId="0" fontId="0" fillId="3" borderId="0" xfId="0" applyFill="1" applyAlignment="1" applyProtection="1">
      <alignment vertical="center"/>
    </xf>
    <xf numFmtId="164" fontId="8" fillId="0" borderId="0" xfId="0" applyNumberFormat="1" applyFont="1" applyFill="1" applyAlignment="1" applyProtection="1">
      <alignment vertical="center"/>
      <protection locked="0"/>
    </xf>
    <xf numFmtId="164" fontId="0" fillId="0" borderId="0" xfId="0" applyNumberFormat="1" applyFill="1" applyAlignment="1" applyProtection="1">
      <alignment vertical="center"/>
      <protection locked="0"/>
    </xf>
    <xf numFmtId="0" fontId="0" fillId="3" borderId="0" xfId="0" applyFill="1" applyAlignment="1" applyProtection="1">
      <alignment vertical="center"/>
      <protection hidden="1"/>
    </xf>
    <xf numFmtId="6" fontId="0" fillId="3" borderId="0" xfId="0" applyNumberFormat="1" applyFill="1" applyAlignment="1" applyProtection="1">
      <alignment vertical="center"/>
      <protection hidden="1"/>
    </xf>
    <xf numFmtId="164" fontId="0" fillId="0" borderId="0" xfId="0" applyNumberFormat="1" applyFont="1" applyFill="1" applyBorder="1" applyAlignment="1" applyProtection="1">
      <alignment vertical="center"/>
      <protection locked="0"/>
    </xf>
    <xf numFmtId="3" fontId="0" fillId="3" borderId="0" xfId="0" applyNumberFormat="1" applyFont="1" applyFill="1" applyProtection="1"/>
    <xf numFmtId="0" fontId="0" fillId="3" borderId="3" xfId="0" applyFill="1" applyBorder="1" applyProtection="1">
      <protection hidden="1"/>
    </xf>
    <xf numFmtId="0" fontId="5" fillId="3" borderId="6" xfId="0" applyFont="1" applyFill="1" applyBorder="1" applyProtection="1">
      <protection hidden="1"/>
    </xf>
    <xf numFmtId="165" fontId="0" fillId="0" borderId="12" xfId="0" applyNumberFormat="1" applyFont="1" applyFill="1" applyBorder="1" applyAlignment="1" applyProtection="1">
      <alignment horizontal="right"/>
      <protection locked="0"/>
    </xf>
    <xf numFmtId="165" fontId="0" fillId="3" borderId="4" xfId="0" applyNumberFormat="1" applyFill="1" applyBorder="1" applyProtection="1">
      <protection hidden="1"/>
    </xf>
    <xf numFmtId="2" fontId="0" fillId="3" borderId="0" xfId="0" applyNumberFormat="1" applyFill="1"/>
    <xf numFmtId="6" fontId="0" fillId="3" borderId="0" xfId="0" applyNumberFormat="1" applyFill="1"/>
    <xf numFmtId="9" fontId="6" fillId="3" borderId="0" xfId="0" applyNumberFormat="1" applyFont="1" applyFill="1" applyProtection="1">
      <protection hidden="1"/>
    </xf>
    <xf numFmtId="9" fontId="0" fillId="0" borderId="3" xfId="0" applyNumberFormat="1" applyFill="1" applyBorder="1" applyProtection="1">
      <protection locked="0"/>
    </xf>
    <xf numFmtId="5" fontId="0" fillId="3" borderId="4" xfId="0" applyNumberFormat="1" applyFill="1" applyBorder="1" applyProtection="1">
      <protection hidden="1"/>
    </xf>
    <xf numFmtId="164" fontId="0" fillId="3" borderId="0" xfId="0" applyNumberFormat="1" applyFill="1" applyBorder="1" applyAlignment="1" applyProtection="1">
      <alignment horizontal="right"/>
    </xf>
    <xf numFmtId="165" fontId="0" fillId="3" borderId="0" xfId="0" applyNumberFormat="1" applyFill="1" applyBorder="1" applyProtection="1">
      <protection hidden="1"/>
    </xf>
    <xf numFmtId="165" fontId="0" fillId="3" borderId="0" xfId="0" applyNumberFormat="1" applyFill="1" applyBorder="1" applyProtection="1"/>
    <xf numFmtId="0" fontId="5" fillId="3" borderId="0" xfId="0" applyFont="1" applyFill="1" applyBorder="1"/>
    <xf numFmtId="3" fontId="5" fillId="3" borderId="1" xfId="0" applyNumberFormat="1" applyFont="1" applyFill="1" applyBorder="1" applyProtection="1">
      <protection hidden="1"/>
    </xf>
    <xf numFmtId="3" fontId="5" fillId="3" borderId="0" xfId="0" applyNumberFormat="1" applyFont="1" applyFill="1" applyProtection="1">
      <protection hidden="1"/>
    </xf>
    <xf numFmtId="1" fontId="5" fillId="3" borderId="5" xfId="0" applyNumberFormat="1" applyFont="1" applyFill="1" applyBorder="1"/>
    <xf numFmtId="3" fontId="5" fillId="3" borderId="13" xfId="0" applyNumberFormat="1" applyFont="1" applyFill="1" applyBorder="1" applyProtection="1"/>
    <xf numFmtId="3" fontId="5" fillId="3" borderId="13" xfId="0" applyNumberFormat="1" applyFont="1" applyFill="1" applyBorder="1" applyProtection="1">
      <protection hidden="1"/>
    </xf>
    <xf numFmtId="6" fontId="20" fillId="3" borderId="0" xfId="0" applyNumberFormat="1" applyFont="1" applyFill="1" applyProtection="1">
      <protection hidden="1"/>
    </xf>
    <xf numFmtId="6" fontId="0" fillId="3" borderId="0" xfId="0" applyNumberFormat="1" applyFont="1" applyFill="1" applyProtection="1">
      <protection hidden="1"/>
    </xf>
    <xf numFmtId="0" fontId="23" fillId="0" borderId="0" xfId="0" applyFont="1"/>
    <xf numFmtId="0" fontId="24" fillId="0" borderId="0" xfId="0" applyFont="1"/>
    <xf numFmtId="167" fontId="0" fillId="3" borderId="0" xfId="0" applyNumberFormat="1" applyFill="1" applyAlignment="1" applyProtection="1">
      <alignment vertical="top"/>
      <protection hidden="1"/>
    </xf>
    <xf numFmtId="0" fontId="5" fillId="3" borderId="0" xfId="0" applyFont="1" applyFill="1" applyBorder="1" applyAlignment="1" applyProtection="1">
      <alignment horizontal="center"/>
    </xf>
    <xf numFmtId="165" fontId="0" fillId="0" borderId="0" xfId="0" applyNumberFormat="1" applyFill="1" applyProtection="1">
      <protection locked="0"/>
    </xf>
    <xf numFmtId="171" fontId="0" fillId="3" borderId="1" xfId="0" applyNumberFormat="1" applyFill="1" applyBorder="1"/>
    <xf numFmtId="171" fontId="0" fillId="3" borderId="0" xfId="0" applyNumberFormat="1" applyFill="1" applyBorder="1"/>
    <xf numFmtId="165" fontId="0" fillId="3" borderId="0" xfId="0" applyNumberFormat="1" applyFill="1" applyAlignment="1">
      <alignment horizontal="right"/>
    </xf>
    <xf numFmtId="171" fontId="0" fillId="4" borderId="3" xfId="0" applyNumberFormat="1" applyFill="1" applyBorder="1" applyProtection="1">
      <protection hidden="1"/>
    </xf>
    <xf numFmtId="171" fontId="0" fillId="4" borderId="1" xfId="0" applyNumberFormat="1" applyFill="1" applyBorder="1" applyProtection="1">
      <protection hidden="1"/>
    </xf>
    <xf numFmtId="10" fontId="0" fillId="0" borderId="0" xfId="0" applyNumberFormat="1" applyFill="1" applyBorder="1" applyProtection="1">
      <protection locked="0"/>
    </xf>
    <xf numFmtId="0" fontId="0" fillId="0" borderId="0" xfId="0" applyFill="1" applyAlignment="1" applyProtection="1">
      <alignment vertical="center"/>
      <protection locked="0"/>
    </xf>
    <xf numFmtId="0" fontId="0" fillId="3" borderId="0" xfId="0" applyFill="1" applyProtection="1">
      <protection locked="0"/>
    </xf>
    <xf numFmtId="4" fontId="0" fillId="0" borderId="0" xfId="0" applyNumberFormat="1"/>
    <xf numFmtId="3" fontId="0" fillId="0" borderId="0" xfId="0" applyNumberFormat="1"/>
    <xf numFmtId="1" fontId="0" fillId="0" borderId="0" xfId="0" applyNumberFormat="1"/>
    <xf numFmtId="1" fontId="9" fillId="4" borderId="0" xfId="0" applyNumberFormat="1" applyFont="1" applyFill="1"/>
    <xf numFmtId="1" fontId="24" fillId="0" borderId="0" xfId="0" applyNumberFormat="1" applyFont="1"/>
    <xf numFmtId="42" fontId="0" fillId="0" borderId="3" xfId="0" applyNumberFormat="1" applyFill="1" applyBorder="1" applyProtection="1">
      <protection locked="0"/>
    </xf>
    <xf numFmtId="167" fontId="0" fillId="3" borderId="0" xfId="0" applyNumberFormat="1" applyFill="1" applyBorder="1" applyProtection="1"/>
    <xf numFmtId="0" fontId="0" fillId="3" borderId="14" xfId="0" applyFill="1" applyBorder="1"/>
    <xf numFmtId="0" fontId="0" fillId="3" borderId="15" xfId="0" applyFill="1" applyBorder="1"/>
    <xf numFmtId="3" fontId="0" fillId="0" borderId="13" xfId="0" applyNumberFormat="1" applyFont="1" applyFill="1" applyBorder="1" applyProtection="1">
      <protection locked="0"/>
    </xf>
    <xf numFmtId="0" fontId="0" fillId="3" borderId="8" xfId="0" applyFill="1" applyBorder="1"/>
    <xf numFmtId="3" fontId="0" fillId="0" borderId="1" xfId="0" applyNumberFormat="1" applyFont="1" applyFill="1" applyBorder="1" applyProtection="1">
      <protection locked="0"/>
    </xf>
    <xf numFmtId="0" fontId="0" fillId="3" borderId="9" xfId="0" applyFill="1" applyBorder="1"/>
    <xf numFmtId="3" fontId="0" fillId="0" borderId="2" xfId="0" applyNumberFormat="1" applyFont="1" applyFill="1" applyBorder="1" applyProtection="1">
      <protection locked="0"/>
    </xf>
    <xf numFmtId="0" fontId="0" fillId="4" borderId="15" xfId="0" applyFill="1" applyBorder="1" applyProtection="1">
      <protection hidden="1"/>
    </xf>
    <xf numFmtId="0" fontId="0" fillId="3" borderId="15" xfId="0" applyFill="1" applyBorder="1" applyProtection="1">
      <protection hidden="1"/>
    </xf>
    <xf numFmtId="10" fontId="0" fillId="3" borderId="15" xfId="0" applyNumberFormat="1" applyFill="1" applyBorder="1" applyProtection="1">
      <protection hidden="1"/>
    </xf>
    <xf numFmtId="0" fontId="0" fillId="3" borderId="15" xfId="0" applyFill="1" applyBorder="1" applyProtection="1"/>
    <xf numFmtId="164" fontId="0" fillId="3" borderId="15" xfId="0" applyNumberFormat="1" applyFill="1" applyBorder="1" applyProtection="1">
      <protection hidden="1"/>
    </xf>
    <xf numFmtId="165" fontId="0" fillId="0" borderId="4" xfId="0" applyNumberFormat="1" applyFill="1" applyBorder="1" applyProtection="1">
      <protection locked="0"/>
    </xf>
    <xf numFmtId="3" fontId="0" fillId="3" borderId="0" xfId="0" applyNumberFormat="1" applyFont="1" applyFill="1" applyBorder="1" applyProtection="1"/>
    <xf numFmtId="3" fontId="0" fillId="3" borderId="8" xfId="0" applyNumberFormat="1" applyFont="1" applyFill="1" applyBorder="1" applyProtection="1"/>
    <xf numFmtId="3" fontId="0" fillId="3" borderId="0" xfId="0" applyNumberFormat="1" applyFont="1" applyFill="1"/>
    <xf numFmtId="3" fontId="0" fillId="0" borderId="0" xfId="0" applyNumberFormat="1" applyFont="1" applyFill="1" applyBorder="1" applyProtection="1">
      <protection locked="0"/>
    </xf>
    <xf numFmtId="0" fontId="5" fillId="3" borderId="0" xfId="0" applyFont="1" applyFill="1" applyBorder="1"/>
    <xf numFmtId="0" fontId="5" fillId="3" borderId="0" xfId="0" applyFont="1" applyFill="1" applyAlignment="1">
      <alignment horizontal="left"/>
    </xf>
    <xf numFmtId="3" fontId="5" fillId="3" borderId="0" xfId="0" applyNumberFormat="1" applyFont="1" applyFill="1" applyProtection="1"/>
  </cellXfs>
  <cellStyles count="3">
    <cellStyle name="Header" xfId="1"/>
    <cellStyle name="Standaard" xfId="0" builtinId="0"/>
    <cellStyle name="Standaard 2" xfId="2"/>
  </cellStyles>
  <dxfs count="567">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color theme="7" tint="-0.24994659260841701"/>
      </font>
    </dxf>
    <dxf>
      <font>
        <strike/>
        <color theme="7" tint="-0.24994659260841701"/>
      </font>
    </dxf>
    <dxf>
      <font>
        <strike/>
      </font>
    </dxf>
    <dxf>
      <font>
        <strike/>
      </font>
    </dxf>
    <dxf>
      <font>
        <strike/>
        <color theme="7" tint="-0.24994659260841701"/>
      </font>
    </dxf>
    <dxf>
      <font>
        <strike/>
        <color theme="7" tint="-0.24994659260841701"/>
      </font>
    </dxf>
    <dxf>
      <font>
        <strike/>
        <color theme="7" tint="-0.24994659260841701"/>
      </font>
    </dxf>
    <dxf>
      <font>
        <strike/>
        <color theme="7" tint="-0.24994659260841701"/>
      </font>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color theme="7" tint="-0.24994659260841701"/>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color theme="7" tint="-0.24994659260841701"/>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color theme="7" tint="-0.24994659260841701"/>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color theme="7" tint="-0.24994659260841701"/>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color theme="7" tint="-0.24994659260841701"/>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color theme="7" tint="-0.24994659260841701"/>
      </font>
    </dxf>
    <dxf>
      <font>
        <strike/>
        <color theme="7" tint="-0.24994659260841701"/>
      </font>
    </dxf>
    <dxf>
      <font>
        <strike/>
      </font>
    </dxf>
    <dxf>
      <font>
        <strike/>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color theme="7" tint="-0.24994659260841701"/>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color theme="7" tint="-0.24994659260841701"/>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color theme="7" tint="-0.24994659260841701"/>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color theme="7" tint="-0.24994659260841701"/>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color theme="7" tint="-0.24994659260841701"/>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color theme="7" tint="-0.24994659260841701"/>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color theme="7" tint="-0.24994659260841701"/>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color theme="7" tint="-0.24994659260841701"/>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color theme="7" tint="-0.24994659260841701"/>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color theme="7" tint="-0.24994659260841701"/>
      </font>
    </dxf>
    <dxf>
      <font>
        <strike/>
        <color theme="7" tint="-0.24994659260841701"/>
      </font>
    </dxf>
    <dxf>
      <font>
        <strike/>
      </font>
    </dxf>
    <dxf>
      <font>
        <strike/>
      </font>
    </dxf>
    <dxf>
      <font>
        <strike/>
        <color theme="7" tint="-0.24994659260841701"/>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
      <font>
        <strike/>
        <color theme="7" tint="-0.24994659260841701"/>
      </font>
    </dxf>
    <dxf>
      <font>
        <condense val="0"/>
        <extend val="0"/>
        <color rgb="FF9C0006"/>
      </font>
      <fill>
        <patternFill>
          <bgColor rgb="FFFFC7CE"/>
        </patternFill>
      </fill>
    </dxf>
    <dxf>
      <font>
        <strike/>
        <color theme="7" tint="-0.24994659260841701"/>
      </font>
    </dxf>
    <dxf>
      <font>
        <condense val="0"/>
        <extend val="0"/>
        <color rgb="FF9C0006"/>
      </font>
      <fill>
        <patternFill>
          <bgColor rgb="FFFFC7CE"/>
        </patternFill>
      </fill>
    </dxf>
    <dxf>
      <font>
        <strike/>
        <color theme="7" tint="-0.24994659260841701"/>
      </font>
    </dxf>
    <dxf>
      <font>
        <strike/>
        <color theme="7" tint="-0.24994659260841701"/>
      </font>
    </dxf>
    <dxf>
      <font>
        <strike/>
        <color theme="7" tint="-0.24994659260841701"/>
      </font>
    </dxf>
    <dxf>
      <font>
        <color theme="7" tint="-0.24994659260841701"/>
      </font>
    </dxf>
    <dxf>
      <font>
        <strike/>
        <color theme="7" tint="-0.24994659260841701"/>
      </font>
    </dxf>
    <dxf>
      <font>
        <strike/>
        <color theme="7" tint="-0.24994659260841701"/>
      </font>
    </dxf>
    <dxf>
      <font>
        <strike/>
        <color theme="7" tint="-0.24994659260841701"/>
      </font>
    </dxf>
    <dxf>
      <font>
        <strike/>
      </font>
    </dxf>
    <dxf>
      <font>
        <strike/>
        <color theme="7" tint="-0.24994659260841701"/>
      </font>
    </dxf>
    <dxf>
      <font>
        <strike/>
      </font>
    </dxf>
    <dxf>
      <font>
        <strike/>
      </font>
    </dxf>
    <dxf>
      <font>
        <strike/>
        <color theme="7" tint="-0.24994659260841701"/>
      </font>
    </dxf>
    <dxf>
      <font>
        <strike/>
      </font>
    </dxf>
    <dxf>
      <font>
        <strike/>
      </font>
    </dxf>
    <dxf>
      <font>
        <strike/>
        <color theme="9" tint="-0.24994659260841701"/>
      </font>
    </dxf>
    <dxf>
      <font>
        <strike/>
        <color rgb="FFFFFF00"/>
      </font>
    </dxf>
    <dxf>
      <font>
        <strike/>
        <color theme="7" tint="-0.24994659260841701"/>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Macrogegevens!$C$2</c:f>
          <c:strCache>
            <c:ptCount val="1"/>
            <c:pt idx="0">
              <c:v>Zwartewaterland</c:v>
            </c:pt>
          </c:strCache>
        </c:strRef>
      </c:tx>
      <c:layout>
        <c:manualLayout>
          <c:xMode val="edge"/>
          <c:yMode val="edge"/>
          <c:x val="5.6577088110519307E-2"/>
          <c:y val="3.7037234752435616E-2"/>
        </c:manualLayout>
      </c:layout>
      <c:overlay val="0"/>
      <c:txPr>
        <a:bodyPr/>
        <a:lstStyle/>
        <a:p>
          <a:pPr>
            <a:defRPr sz="1200" b="1" i="0" u="none" strike="noStrike" baseline="0">
              <a:solidFill>
                <a:srgbClr val="000000"/>
              </a:solidFill>
              <a:latin typeface="Calibri"/>
              <a:ea typeface="Calibri"/>
              <a:cs typeface="Calibri"/>
            </a:defRPr>
          </a:pPr>
          <a:endParaRPr lang="nl-NL"/>
        </a:p>
      </c:txPr>
    </c:title>
    <c:autoTitleDeleted val="0"/>
    <c:plotArea>
      <c:layout>
        <c:manualLayout>
          <c:layoutTarget val="inner"/>
          <c:xMode val="edge"/>
          <c:yMode val="edge"/>
          <c:x val="0.15252223680373544"/>
          <c:y val="0.16759262235077757"/>
          <c:w val="0.56221102362204722"/>
          <c:h val="0.63937736949547974"/>
        </c:manualLayout>
      </c:layout>
      <c:lineChart>
        <c:grouping val="standard"/>
        <c:varyColors val="0"/>
        <c:ser>
          <c:idx val="1"/>
          <c:order val="0"/>
          <c:tx>
            <c:strRef>
              <c:f>Macrogegevens!$K$3</c:f>
              <c:strCache>
                <c:ptCount val="1"/>
                <c:pt idx="0">
                  <c:v>Netto schuldquote</c:v>
                </c:pt>
              </c:strCache>
            </c:strRef>
          </c:tx>
          <c:spPr>
            <a:ln w="38100">
              <a:solidFill>
                <a:srgbClr val="FF0000"/>
              </a:solidFill>
            </a:ln>
          </c:spPr>
          <c:marker>
            <c:symbol val="none"/>
          </c:marker>
          <c:cat>
            <c:numRef>
              <c:f>Macrogegevens!$J$4:$J$14</c:f>
              <c:numCache>
                <c:formatCode>General</c:formatCode>
                <c:ptCount val="11"/>
                <c:pt idx="0" formatCode="0">
                  <c:v>2014</c:v>
                </c:pt>
                <c:pt idx="1">
                  <c:v>2015</c:v>
                </c:pt>
                <c:pt idx="2">
                  <c:v>2016</c:v>
                </c:pt>
                <c:pt idx="3">
                  <c:v>2017</c:v>
                </c:pt>
                <c:pt idx="4">
                  <c:v>2018</c:v>
                </c:pt>
                <c:pt idx="5">
                  <c:v>2019</c:v>
                </c:pt>
                <c:pt idx="6">
                  <c:v>2020</c:v>
                </c:pt>
                <c:pt idx="7">
                  <c:v>2021</c:v>
                </c:pt>
                <c:pt idx="8">
                  <c:v>2022</c:v>
                </c:pt>
                <c:pt idx="9">
                  <c:v>2023</c:v>
                </c:pt>
                <c:pt idx="10">
                  <c:v>2024</c:v>
                </c:pt>
              </c:numCache>
            </c:numRef>
          </c:cat>
          <c:val>
            <c:numRef>
              <c:f>Macrogegevens!$K$4:$K$14</c:f>
              <c:numCache>
                <c:formatCode>0%</c:formatCode>
                <c:ptCount val="11"/>
                <c:pt idx="0">
                  <c:v>1</c:v>
                </c:pt>
                <c:pt idx="1">
                  <c:v>1.0002330288888892</c:v>
                </c:pt>
                <c:pt idx="2">
                  <c:v>0.85203876592062155</c:v>
                </c:pt>
                <c:pt idx="3">
                  <c:v>1.7276335198427994</c:v>
                </c:pt>
                <c:pt idx="4">
                  <c:v>2.6360484250752028</c:v>
                </c:pt>
                <c:pt idx="5">
                  <c:v>2.9519301714090918</c:v>
                </c:pt>
                <c:pt idx="6">
                  <c:v>3.0942378745068093</c:v>
                </c:pt>
                <c:pt idx="7">
                  <c:v>3.1155412225237655</c:v>
                </c:pt>
                <c:pt idx="8">
                  <c:v>3.4856069689580309</c:v>
                </c:pt>
                <c:pt idx="9">
                  <c:v>3.8720975075081454</c:v>
                </c:pt>
                <c:pt idx="10">
                  <c:v>4.2756798381257193</c:v>
                </c:pt>
              </c:numCache>
            </c:numRef>
          </c:val>
          <c:smooth val="0"/>
        </c:ser>
        <c:dLbls>
          <c:showLegendKey val="0"/>
          <c:showVal val="0"/>
          <c:showCatName val="0"/>
          <c:showSerName val="0"/>
          <c:showPercent val="0"/>
          <c:showBubbleSize val="0"/>
        </c:dLbls>
        <c:marker val="1"/>
        <c:smooth val="0"/>
        <c:axId val="82339712"/>
        <c:axId val="82341248"/>
      </c:lineChart>
      <c:catAx>
        <c:axId val="82339712"/>
        <c:scaling>
          <c:orientation val="minMax"/>
        </c:scaling>
        <c:delete val="0"/>
        <c:axPos val="b"/>
        <c:numFmt formatCode="0" sourceLinked="1"/>
        <c:majorTickMark val="out"/>
        <c:minorTickMark val="none"/>
        <c:tickLblPos val="nextTo"/>
        <c:txPr>
          <a:bodyPr rot="-2700000" vert="horz"/>
          <a:lstStyle/>
          <a:p>
            <a:pPr>
              <a:defRPr sz="1000" b="1" i="0" u="none" strike="noStrike" baseline="0">
                <a:solidFill>
                  <a:srgbClr val="000000"/>
                </a:solidFill>
                <a:latin typeface="Calibri"/>
                <a:ea typeface="Calibri"/>
                <a:cs typeface="Calibri"/>
              </a:defRPr>
            </a:pPr>
            <a:endParaRPr lang="nl-NL"/>
          </a:p>
        </c:txPr>
        <c:crossAx val="82341248"/>
        <c:crossesAt val="0"/>
        <c:auto val="1"/>
        <c:lblAlgn val="ctr"/>
        <c:lblOffset val="100"/>
        <c:tickLblSkip val="1"/>
        <c:noMultiLvlLbl val="0"/>
      </c:catAx>
      <c:valAx>
        <c:axId val="82341248"/>
        <c:scaling>
          <c:orientation val="minMax"/>
        </c:scaling>
        <c:delete val="0"/>
        <c:axPos val="l"/>
        <c:majorGridlines/>
        <c:numFmt formatCode="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nl-NL"/>
          </a:p>
        </c:txPr>
        <c:crossAx val="82339712"/>
        <c:crosses val="autoZero"/>
        <c:crossBetween val="midCat"/>
      </c:valAx>
    </c:plotArea>
    <c:legend>
      <c:legendPos val="r"/>
      <c:layout/>
      <c:overlay val="0"/>
      <c:txPr>
        <a:bodyPr/>
        <a:lstStyle/>
        <a:p>
          <a:pPr>
            <a:defRPr sz="845" b="1" i="0" u="none" strike="noStrike" baseline="0">
              <a:solidFill>
                <a:srgbClr val="000000"/>
              </a:solidFill>
              <a:latin typeface="Calibri"/>
              <a:ea typeface="Calibri"/>
              <a:cs typeface="Calibri"/>
            </a:defRPr>
          </a:pPr>
          <a:endParaRPr lang="nl-NL"/>
        </a:p>
      </c:txPr>
    </c:legend>
    <c:plotVisOnly val="0"/>
    <c:dispBlanksAs val="gap"/>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93285214348212"/>
          <c:y val="0.20544968040691092"/>
          <c:w val="0.57147014523570949"/>
          <c:h val="0.63349262060785183"/>
        </c:manualLayout>
      </c:layout>
      <c:barChart>
        <c:barDir val="col"/>
        <c:grouping val="clustered"/>
        <c:varyColors val="0"/>
        <c:ser>
          <c:idx val="2"/>
          <c:order val="0"/>
          <c:tx>
            <c:strRef>
              <c:f>Macrogegevens!$M$27</c:f>
              <c:strCache>
                <c:ptCount val="1"/>
                <c:pt idx="0">
                  <c:v>Netto schuldquote</c:v>
                </c:pt>
              </c:strCache>
            </c:strRef>
          </c:tx>
          <c:spPr>
            <a:solidFill>
              <a:srgbClr val="FF0000"/>
            </a:solidFill>
          </c:spPr>
          <c:invertIfNegative val="0"/>
          <c:dLbls>
            <c:numFmt formatCode="0%" sourceLinked="0"/>
            <c:txPr>
              <a:bodyPr/>
              <a:lstStyle/>
              <a:p>
                <a:pPr>
                  <a:defRPr sz="1000" b="0" i="0" u="none" strike="noStrike" baseline="0">
                    <a:solidFill>
                      <a:srgbClr val="000000"/>
                    </a:solidFill>
                    <a:latin typeface="Calibri"/>
                    <a:ea typeface="Calibri"/>
                    <a:cs typeface="Calibri"/>
                  </a:defRPr>
                </a:pPr>
                <a:endParaRPr lang="nl-NL"/>
              </a:p>
            </c:txPr>
            <c:showLegendKey val="0"/>
            <c:showVal val="1"/>
            <c:showCatName val="0"/>
            <c:showSerName val="0"/>
            <c:showPercent val="0"/>
            <c:showBubbleSize val="0"/>
            <c:showLeaderLines val="0"/>
          </c:dLbls>
          <c:cat>
            <c:numRef>
              <c:f>Macrogegevens!$T$24:$U$24</c:f>
              <c:numCache>
                <c:formatCode>General</c:formatCode>
                <c:ptCount val="2"/>
                <c:pt idx="0" formatCode="0_ ;[Red]\-0\ ">
                  <c:v>2014</c:v>
                </c:pt>
                <c:pt idx="1">
                  <c:v>2015</c:v>
                </c:pt>
              </c:numCache>
            </c:numRef>
          </c:cat>
          <c:val>
            <c:numRef>
              <c:f>Macrogegevens!$T$27:$U$27</c:f>
              <c:numCache>
                <c:formatCode>0.0%</c:formatCode>
                <c:ptCount val="2"/>
                <c:pt idx="0">
                  <c:v>1</c:v>
                </c:pt>
                <c:pt idx="1">
                  <c:v>1.0002330288888892</c:v>
                </c:pt>
              </c:numCache>
            </c:numRef>
          </c:val>
        </c:ser>
        <c:ser>
          <c:idx val="3"/>
          <c:order val="1"/>
          <c:tx>
            <c:strRef>
              <c:f>Macrogegevens!$M$28</c:f>
              <c:strCache>
                <c:ptCount val="1"/>
                <c:pt idx="0">
                  <c:v>Uitleenquote</c:v>
                </c:pt>
              </c:strCache>
            </c:strRef>
          </c:tx>
          <c:spPr>
            <a:solidFill>
              <a:srgbClr val="92D050"/>
            </a:solidFill>
          </c:spPr>
          <c:invertIfNegative val="0"/>
          <c:dLbls>
            <c:numFmt formatCode="0%" sourceLinked="0"/>
            <c:txPr>
              <a:bodyPr/>
              <a:lstStyle/>
              <a:p>
                <a:pPr>
                  <a:defRPr sz="1000" b="0" i="0" u="none" strike="noStrike" baseline="0">
                    <a:solidFill>
                      <a:srgbClr val="000000"/>
                    </a:solidFill>
                    <a:latin typeface="Calibri"/>
                    <a:ea typeface="Calibri"/>
                    <a:cs typeface="Calibri"/>
                  </a:defRPr>
                </a:pPr>
                <a:endParaRPr lang="nl-NL"/>
              </a:p>
            </c:txPr>
            <c:showLegendKey val="0"/>
            <c:showVal val="1"/>
            <c:showCatName val="0"/>
            <c:showSerName val="0"/>
            <c:showPercent val="0"/>
            <c:showBubbleSize val="0"/>
            <c:showLeaderLines val="0"/>
          </c:dLbls>
          <c:cat>
            <c:numRef>
              <c:f>Macrogegevens!$T$24:$U$24</c:f>
              <c:numCache>
                <c:formatCode>General</c:formatCode>
                <c:ptCount val="2"/>
                <c:pt idx="0" formatCode="0_ ;[Red]\-0\ ">
                  <c:v>2014</c:v>
                </c:pt>
                <c:pt idx="1">
                  <c:v>2015</c:v>
                </c:pt>
              </c:numCache>
            </c:numRef>
          </c:cat>
          <c:val>
            <c:numRef>
              <c:f>Macrogegevens!$T$28:$U$28</c:f>
              <c:numCache>
                <c:formatCode>0.0%</c:formatCode>
                <c:ptCount val="2"/>
                <c:pt idx="0">
                  <c:v>2</c:v>
                </c:pt>
                <c:pt idx="1">
                  <c:v>2</c:v>
                </c:pt>
              </c:numCache>
            </c:numRef>
          </c:val>
        </c:ser>
        <c:ser>
          <c:idx val="5"/>
          <c:order val="2"/>
          <c:tx>
            <c:strRef>
              <c:f>Macrogegevens!$M$30</c:f>
              <c:strCache>
                <c:ptCount val="1"/>
                <c:pt idx="0">
                  <c:v>Voorraadquote</c:v>
                </c:pt>
              </c:strCache>
            </c:strRef>
          </c:tx>
          <c:spPr>
            <a:solidFill>
              <a:schemeClr val="tx2"/>
            </a:solidFill>
          </c:spPr>
          <c:invertIfNegative val="0"/>
          <c:dLbls>
            <c:numFmt formatCode="0%" sourceLinked="0"/>
            <c:showLegendKey val="0"/>
            <c:showVal val="1"/>
            <c:showCatName val="0"/>
            <c:showSerName val="0"/>
            <c:showPercent val="0"/>
            <c:showBubbleSize val="0"/>
            <c:showLeaderLines val="0"/>
          </c:dLbls>
          <c:cat>
            <c:numRef>
              <c:f>Macrogegevens!$T$24:$U$24</c:f>
              <c:numCache>
                <c:formatCode>General</c:formatCode>
                <c:ptCount val="2"/>
                <c:pt idx="0" formatCode="0_ ;[Red]\-0\ ">
                  <c:v>2014</c:v>
                </c:pt>
                <c:pt idx="1">
                  <c:v>2015</c:v>
                </c:pt>
              </c:numCache>
            </c:numRef>
          </c:cat>
          <c:val>
            <c:numRef>
              <c:f>Macrogegevens!$T$30:$U$30</c:f>
              <c:numCache>
                <c:formatCode>0.0%</c:formatCode>
                <c:ptCount val="2"/>
                <c:pt idx="0">
                  <c:v>3</c:v>
                </c:pt>
                <c:pt idx="1">
                  <c:v>3</c:v>
                </c:pt>
              </c:numCache>
            </c:numRef>
          </c:val>
        </c:ser>
        <c:ser>
          <c:idx val="6"/>
          <c:order val="3"/>
          <c:tx>
            <c:strRef>
              <c:f>Macrogegevens!$M$32</c:f>
              <c:strCache>
                <c:ptCount val="1"/>
                <c:pt idx="0">
                  <c:v>Resultaat v. bestemming in % van inkomsten</c:v>
                </c:pt>
              </c:strCache>
            </c:strRef>
          </c:tx>
          <c:spPr>
            <a:solidFill>
              <a:schemeClr val="tx1">
                <a:lumMod val="85000"/>
                <a:lumOff val="15000"/>
              </a:schemeClr>
            </a:solidFill>
          </c:spPr>
          <c:invertIfNegative val="0"/>
          <c:dLbls>
            <c:numFmt formatCode="0%" sourceLinked="0"/>
            <c:showLegendKey val="0"/>
            <c:showVal val="1"/>
            <c:showCatName val="0"/>
            <c:showSerName val="0"/>
            <c:showPercent val="0"/>
            <c:showBubbleSize val="0"/>
            <c:showLeaderLines val="0"/>
          </c:dLbls>
          <c:cat>
            <c:numRef>
              <c:f>Macrogegevens!$T$24:$U$24</c:f>
              <c:numCache>
                <c:formatCode>General</c:formatCode>
                <c:ptCount val="2"/>
                <c:pt idx="0" formatCode="0_ ;[Red]\-0\ ">
                  <c:v>2014</c:v>
                </c:pt>
                <c:pt idx="1">
                  <c:v>2015</c:v>
                </c:pt>
              </c:numCache>
            </c:numRef>
          </c:cat>
          <c:val>
            <c:numRef>
              <c:f>Macrogegevens!$T$32:$U$32</c:f>
              <c:numCache>
                <c:formatCode>0.0%</c:formatCode>
                <c:ptCount val="2"/>
                <c:pt idx="0">
                  <c:v>0</c:v>
                </c:pt>
                <c:pt idx="1">
                  <c:v>-2.3302888888876439E-4</c:v>
                </c:pt>
              </c:numCache>
            </c:numRef>
          </c:val>
        </c:ser>
        <c:ser>
          <c:idx val="8"/>
          <c:order val="4"/>
          <c:tx>
            <c:strRef>
              <c:f>Macrogegevens!$M$33</c:f>
              <c:strCache>
                <c:ptCount val="1"/>
                <c:pt idx="0">
                  <c:v>Primair surplus in % van inkomsten</c:v>
                </c:pt>
              </c:strCache>
            </c:strRef>
          </c:tx>
          <c:spPr>
            <a:solidFill>
              <a:srgbClr val="FFFF00"/>
            </a:solidFill>
          </c:spPr>
          <c:invertIfNegative val="0"/>
          <c:dLbls>
            <c:numFmt formatCode="0%" sourceLinked="0"/>
            <c:showLegendKey val="0"/>
            <c:showVal val="1"/>
            <c:showCatName val="0"/>
            <c:showSerName val="0"/>
            <c:showPercent val="0"/>
            <c:showBubbleSize val="0"/>
            <c:showLeaderLines val="0"/>
          </c:dLbls>
          <c:cat>
            <c:numRef>
              <c:f>Macrogegevens!$T$24:$U$24</c:f>
              <c:numCache>
                <c:formatCode>General</c:formatCode>
                <c:ptCount val="2"/>
                <c:pt idx="0" formatCode="0_ ;[Red]\-0\ ">
                  <c:v>2014</c:v>
                </c:pt>
                <c:pt idx="1">
                  <c:v>2015</c:v>
                </c:pt>
              </c:numCache>
            </c:numRef>
          </c:cat>
          <c:val>
            <c:numRef>
              <c:f>Macrogegevens!$T$33:$U$33</c:f>
              <c:numCache>
                <c:formatCode>0.0%</c:formatCode>
                <c:ptCount val="2"/>
                <c:pt idx="1">
                  <c:v>2.9997669711111112</c:v>
                </c:pt>
              </c:numCache>
            </c:numRef>
          </c:val>
        </c:ser>
        <c:ser>
          <c:idx val="9"/>
          <c:order val="5"/>
          <c:tx>
            <c:strRef>
              <c:f>Macrogegevens!$M$34</c:f>
              <c:strCache>
                <c:ptCount val="1"/>
                <c:pt idx="0">
                  <c:v>Ideaal primair surplus in % van inkomsten</c:v>
                </c:pt>
              </c:strCache>
            </c:strRef>
          </c:tx>
          <c:spPr>
            <a:solidFill>
              <a:srgbClr val="0070C0"/>
            </a:solidFill>
          </c:spPr>
          <c:invertIfNegative val="0"/>
          <c:dLbls>
            <c:numFmt formatCode="0%" sourceLinked="0"/>
            <c:showLegendKey val="0"/>
            <c:showVal val="1"/>
            <c:showCatName val="0"/>
            <c:showSerName val="0"/>
            <c:showPercent val="0"/>
            <c:showBubbleSize val="0"/>
            <c:showLeaderLines val="0"/>
          </c:dLbls>
          <c:cat>
            <c:numRef>
              <c:f>Macrogegevens!$T$24:$U$24</c:f>
              <c:numCache>
                <c:formatCode>General</c:formatCode>
                <c:ptCount val="2"/>
                <c:pt idx="0" formatCode="0_ ;[Red]\-0\ ">
                  <c:v>2014</c:v>
                </c:pt>
                <c:pt idx="1">
                  <c:v>2015</c:v>
                </c:pt>
              </c:numCache>
            </c:numRef>
          </c:cat>
          <c:val>
            <c:numRef>
              <c:f>Macrogegevens!$T$34:$U$34</c:f>
              <c:numCache>
                <c:formatCode>0.0%</c:formatCode>
                <c:ptCount val="2"/>
                <c:pt idx="1">
                  <c:v>2</c:v>
                </c:pt>
              </c:numCache>
            </c:numRef>
          </c:val>
        </c:ser>
        <c:ser>
          <c:idx val="10"/>
          <c:order val="6"/>
          <c:tx>
            <c:strRef>
              <c:f>Macrogegevens!$M$35</c:f>
              <c:strCache>
                <c:ptCount val="1"/>
                <c:pt idx="0">
                  <c:v>Ombuigingsquote</c:v>
                </c:pt>
              </c:strCache>
            </c:strRef>
          </c:tx>
          <c:spPr>
            <a:solidFill>
              <a:schemeClr val="accent6">
                <a:lumMod val="75000"/>
              </a:schemeClr>
            </a:solidFill>
          </c:spPr>
          <c:invertIfNegative val="0"/>
          <c:dLbls>
            <c:numFmt formatCode="0%" sourceLinked="0"/>
            <c:showLegendKey val="0"/>
            <c:showVal val="1"/>
            <c:showCatName val="0"/>
            <c:showSerName val="0"/>
            <c:showPercent val="0"/>
            <c:showBubbleSize val="0"/>
            <c:showLeaderLines val="0"/>
          </c:dLbls>
          <c:cat>
            <c:numRef>
              <c:f>Macrogegevens!$T$24:$U$24</c:f>
              <c:numCache>
                <c:formatCode>General</c:formatCode>
                <c:ptCount val="2"/>
                <c:pt idx="0" formatCode="0_ ;[Red]\-0\ ">
                  <c:v>2014</c:v>
                </c:pt>
                <c:pt idx="1">
                  <c:v>2015</c:v>
                </c:pt>
              </c:numCache>
            </c:numRef>
          </c:cat>
          <c:val>
            <c:numRef>
              <c:f>Macrogegevens!$T$35:$U$35</c:f>
              <c:numCache>
                <c:formatCode>0.0%</c:formatCode>
                <c:ptCount val="2"/>
                <c:pt idx="1">
                  <c:v>-7279528.9097572509</c:v>
                </c:pt>
              </c:numCache>
            </c:numRef>
          </c:val>
        </c:ser>
        <c:ser>
          <c:idx val="11"/>
          <c:order val="7"/>
          <c:tx>
            <c:strRef>
              <c:f>Macrogegevens!$M$37</c:f>
              <c:strCache>
                <c:ptCount val="1"/>
                <c:pt idx="0">
                  <c:v>Houdbaarheidstekort in % van ombuigingsrelevante uitgaven</c:v>
                </c:pt>
              </c:strCache>
            </c:strRef>
          </c:tx>
          <c:spPr>
            <a:solidFill>
              <a:srgbClr val="C00000"/>
            </a:solidFill>
          </c:spPr>
          <c:invertIfNegative val="0"/>
          <c:dLbls>
            <c:numFmt formatCode="0%" sourceLinked="0"/>
            <c:showLegendKey val="0"/>
            <c:showVal val="1"/>
            <c:showCatName val="0"/>
            <c:showSerName val="0"/>
            <c:showPercent val="0"/>
            <c:showBubbleSize val="0"/>
            <c:showLeaderLines val="0"/>
          </c:dLbls>
          <c:cat>
            <c:numRef>
              <c:f>Macrogegevens!$T$24:$U$24</c:f>
              <c:numCache>
                <c:formatCode>General</c:formatCode>
                <c:ptCount val="2"/>
                <c:pt idx="0" formatCode="0_ ;[Red]\-0\ ">
                  <c:v>2014</c:v>
                </c:pt>
                <c:pt idx="1">
                  <c:v>2015</c:v>
                </c:pt>
              </c:numCache>
            </c:numRef>
          </c:cat>
          <c:val>
            <c:numRef>
              <c:f>Macrogegevens!$T$37:$U$37</c:f>
              <c:numCache>
                <c:formatCode>0.0%</c:formatCode>
                <c:ptCount val="2"/>
                <c:pt idx="1">
                  <c:v>0</c:v>
                </c:pt>
              </c:numCache>
            </c:numRef>
          </c:val>
        </c:ser>
        <c:ser>
          <c:idx val="12"/>
          <c:order val="8"/>
          <c:tx>
            <c:strRef>
              <c:f>Macrogegevens!$M$36</c:f>
              <c:strCache>
                <c:ptCount val="1"/>
                <c:pt idx="0">
                  <c:v>Houdbaarheidstekort in % van uitgaven 2016</c:v>
                </c:pt>
              </c:strCache>
            </c:strRef>
          </c:tx>
          <c:spPr>
            <a:solidFill>
              <a:srgbClr val="7030A0"/>
            </a:solidFill>
          </c:spPr>
          <c:invertIfNegative val="0"/>
          <c:dLbls>
            <c:numFmt formatCode="0%" sourceLinked="0"/>
            <c:showLegendKey val="0"/>
            <c:showVal val="1"/>
            <c:showCatName val="0"/>
            <c:showSerName val="0"/>
            <c:showPercent val="0"/>
            <c:showBubbleSize val="0"/>
            <c:showLeaderLines val="0"/>
          </c:dLbls>
          <c:cat>
            <c:numRef>
              <c:f>Macrogegevens!$T$24:$U$24</c:f>
              <c:numCache>
                <c:formatCode>General</c:formatCode>
                <c:ptCount val="2"/>
                <c:pt idx="0" formatCode="0_ ;[Red]\-0\ ">
                  <c:v>2014</c:v>
                </c:pt>
                <c:pt idx="1">
                  <c:v>2015</c:v>
                </c:pt>
              </c:numCache>
            </c:numRef>
          </c:cat>
          <c:val>
            <c:numRef>
              <c:f>Macrogegevens!$T$36:$U$36</c:f>
              <c:numCache>
                <c:formatCode>0.0%</c:formatCode>
                <c:ptCount val="2"/>
                <c:pt idx="1">
                  <c:v>0</c:v>
                </c:pt>
              </c:numCache>
            </c:numRef>
          </c:val>
        </c:ser>
        <c:dLbls>
          <c:showLegendKey val="0"/>
          <c:showVal val="0"/>
          <c:showCatName val="0"/>
          <c:showSerName val="0"/>
          <c:showPercent val="0"/>
          <c:showBubbleSize val="0"/>
        </c:dLbls>
        <c:gapWidth val="150"/>
        <c:axId val="84080896"/>
        <c:axId val="89985024"/>
      </c:barChart>
      <c:catAx>
        <c:axId val="84080896"/>
        <c:scaling>
          <c:orientation val="minMax"/>
        </c:scaling>
        <c:delete val="0"/>
        <c:axPos val="b"/>
        <c:numFmt formatCode="0_ ;[Red]\-0\ " sourceLinked="1"/>
        <c:majorTickMark val="out"/>
        <c:minorTickMark val="none"/>
        <c:tickLblPos val="nextTo"/>
        <c:txPr>
          <a:bodyPr rot="5400000" vert="horz" anchor="t" anchorCtr="0"/>
          <a:lstStyle/>
          <a:p>
            <a:pPr>
              <a:defRPr sz="1000" b="1" i="0" u="none" strike="noStrike" baseline="0">
                <a:solidFill>
                  <a:srgbClr val="000000"/>
                </a:solidFill>
                <a:latin typeface="Calibri"/>
                <a:ea typeface="Calibri"/>
                <a:cs typeface="Calibri"/>
              </a:defRPr>
            </a:pPr>
            <a:endParaRPr lang="nl-NL"/>
          </a:p>
        </c:txPr>
        <c:crossAx val="89985024"/>
        <c:crosses val="autoZero"/>
        <c:auto val="1"/>
        <c:lblAlgn val="ctr"/>
        <c:lblOffset val="100"/>
        <c:noMultiLvlLbl val="0"/>
      </c:catAx>
      <c:valAx>
        <c:axId val="89985024"/>
        <c:scaling>
          <c:orientation val="minMax"/>
        </c:scaling>
        <c:delete val="0"/>
        <c:axPos val="l"/>
        <c:majorGridlines/>
        <c:numFmt formatCode="0%"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nl-NL"/>
          </a:p>
        </c:txPr>
        <c:crossAx val="84080896"/>
        <c:crosses val="autoZero"/>
        <c:crossBetween val="between"/>
      </c:valAx>
    </c:plotArea>
    <c:legend>
      <c:legendPos val="r"/>
      <c:layout>
        <c:manualLayout>
          <c:xMode val="edge"/>
          <c:yMode val="edge"/>
          <c:x val="0.71441333428487663"/>
          <c:y val="0.10561694362349669"/>
          <c:w val="0.28155852789551788"/>
          <c:h val="0.89438303719198253"/>
        </c:manualLayout>
      </c:layout>
      <c:overlay val="0"/>
      <c:txPr>
        <a:bodyPr/>
        <a:lstStyle/>
        <a:p>
          <a:pPr>
            <a:defRPr sz="845" b="1" i="0" u="none" strike="noStrike" baseline="0">
              <a:solidFill>
                <a:srgbClr val="000000"/>
              </a:solidFill>
              <a:latin typeface="Calibri"/>
              <a:ea typeface="Calibri"/>
              <a:cs typeface="Calibri"/>
            </a:defRPr>
          </a:pPr>
          <a:endParaRPr lang="nl-NL"/>
        </a:p>
      </c:txPr>
    </c:legend>
    <c:plotVisOnly val="1"/>
    <c:dispBlanksAs val="gap"/>
    <c:showDLblsOverMax val="0"/>
  </c:chart>
  <c:spPr>
    <a:solidFill>
      <a:schemeClr val="bg1">
        <a:lumMod val="65000"/>
      </a:schemeClr>
    </a:solidFill>
    <a:ln w="12700">
      <a:solidFill>
        <a:schemeClr val="tx1"/>
      </a:solidFill>
    </a:ln>
  </c:spPr>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1465" l="0.70000000000000062" r="0.70000000000000062" t="0.7500000000000146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nl-NL"/>
              <a:t>Ontwikkeling schuldfinanciering bezit eind 2014 - 2015</a:t>
            </a:r>
          </a:p>
        </c:rich>
      </c:tx>
      <c:layout>
        <c:manualLayout>
          <c:xMode val="edge"/>
          <c:yMode val="edge"/>
          <c:x val="0.38015802712161922"/>
          <c:y val="3.2407407407408786E-2"/>
        </c:manualLayout>
      </c:layout>
      <c:overlay val="0"/>
    </c:title>
    <c:autoTitleDeleted val="0"/>
    <c:plotArea>
      <c:layout>
        <c:manualLayout>
          <c:layoutTarget val="inner"/>
          <c:xMode val="edge"/>
          <c:yMode val="edge"/>
          <c:x val="7.6865325739040952E-2"/>
          <c:y val="0.1463079615048119"/>
          <c:w val="0.52829787687775642"/>
          <c:h val="0.73771216097987768"/>
        </c:manualLayout>
      </c:layout>
      <c:barChart>
        <c:barDir val="col"/>
        <c:grouping val="clustered"/>
        <c:varyColors val="0"/>
        <c:ser>
          <c:idx val="0"/>
          <c:order val="0"/>
          <c:tx>
            <c:strRef>
              <c:f>Balansprognose!$E$39</c:f>
              <c:strCache>
                <c:ptCount val="1"/>
                <c:pt idx="0">
                  <c:v>Schuldratio</c:v>
                </c:pt>
              </c:strCache>
            </c:strRef>
          </c:tx>
          <c:spPr>
            <a:solidFill>
              <a:srgbClr val="C00000"/>
            </a:solidFill>
          </c:spPr>
          <c:invertIfNegative val="0"/>
          <c:dLbls>
            <c:txPr>
              <a:bodyPr/>
              <a:lstStyle/>
              <a:p>
                <a:pPr>
                  <a:defRPr sz="1000" b="0" i="0" u="none" strike="noStrike" baseline="0">
                    <a:solidFill>
                      <a:srgbClr val="000000"/>
                    </a:solidFill>
                    <a:latin typeface="Calibri"/>
                    <a:ea typeface="Calibri"/>
                    <a:cs typeface="Calibri"/>
                  </a:defRPr>
                </a:pPr>
                <a:endParaRPr lang="nl-NL"/>
              </a:p>
            </c:txPr>
            <c:showLegendKey val="0"/>
            <c:showVal val="1"/>
            <c:showCatName val="0"/>
            <c:showSerName val="0"/>
            <c:showPercent val="0"/>
            <c:showBubbleSize val="0"/>
            <c:showLeaderLines val="0"/>
          </c:dLbls>
          <c:cat>
            <c:numRef>
              <c:f>Balansprognose!$F$4:$G$4</c:f>
              <c:numCache>
                <c:formatCode>0</c:formatCode>
                <c:ptCount val="2"/>
                <c:pt idx="0">
                  <c:v>2014</c:v>
                </c:pt>
                <c:pt idx="1">
                  <c:v>2015</c:v>
                </c:pt>
              </c:numCache>
            </c:numRef>
          </c:cat>
          <c:val>
            <c:numRef>
              <c:f>Balansprognose!$F$39:$G$39</c:f>
              <c:numCache>
                <c:formatCode>0%</c:formatCode>
                <c:ptCount val="2"/>
                <c:pt idx="0" formatCode="0.0%">
                  <c:v>0.38461538461538464</c:v>
                </c:pt>
                <c:pt idx="1">
                  <c:v>0.38463330991452993</c:v>
                </c:pt>
              </c:numCache>
            </c:numRef>
          </c:val>
        </c:ser>
        <c:ser>
          <c:idx val="1"/>
          <c:order val="1"/>
          <c:tx>
            <c:strRef>
              <c:f>Balansprognose!$E$38</c:f>
              <c:strCache>
                <c:ptCount val="1"/>
                <c:pt idx="0">
                  <c:v>Solvabiliteitsratio</c:v>
                </c:pt>
              </c:strCache>
            </c:strRef>
          </c:tx>
          <c:spPr>
            <a:solidFill>
              <a:schemeClr val="accent3">
                <a:lumMod val="75000"/>
              </a:schemeClr>
            </a:solidFill>
          </c:spPr>
          <c:invertIfNegative val="0"/>
          <c:dLbls>
            <c:txPr>
              <a:bodyPr/>
              <a:lstStyle/>
              <a:p>
                <a:pPr>
                  <a:defRPr sz="1000" b="0" i="0" u="none" strike="noStrike" baseline="0">
                    <a:solidFill>
                      <a:srgbClr val="000000"/>
                    </a:solidFill>
                    <a:latin typeface="Calibri"/>
                    <a:ea typeface="Calibri"/>
                    <a:cs typeface="Calibri"/>
                  </a:defRPr>
                </a:pPr>
                <a:endParaRPr lang="nl-NL"/>
              </a:p>
            </c:txPr>
            <c:showLegendKey val="0"/>
            <c:showVal val="1"/>
            <c:showCatName val="0"/>
            <c:showSerName val="0"/>
            <c:showPercent val="0"/>
            <c:showBubbleSize val="0"/>
            <c:showLeaderLines val="0"/>
          </c:dLbls>
          <c:cat>
            <c:numRef>
              <c:f>Balansprognose!$F$4:$G$4</c:f>
              <c:numCache>
                <c:formatCode>0</c:formatCode>
                <c:ptCount val="2"/>
                <c:pt idx="0">
                  <c:v>2014</c:v>
                </c:pt>
                <c:pt idx="1">
                  <c:v>2015</c:v>
                </c:pt>
              </c:numCache>
            </c:numRef>
          </c:cat>
          <c:val>
            <c:numRef>
              <c:f>Balansprognose!$F$38:$G$38</c:f>
              <c:numCache>
                <c:formatCode>0%</c:formatCode>
                <c:ptCount val="2"/>
                <c:pt idx="0" formatCode="0.0%">
                  <c:v>0.61538461538461542</c:v>
                </c:pt>
                <c:pt idx="1">
                  <c:v>0.61536669008547007</c:v>
                </c:pt>
              </c:numCache>
            </c:numRef>
          </c:val>
        </c:ser>
        <c:dLbls>
          <c:showLegendKey val="0"/>
          <c:showVal val="0"/>
          <c:showCatName val="0"/>
          <c:showSerName val="0"/>
          <c:showPercent val="0"/>
          <c:showBubbleSize val="0"/>
        </c:dLbls>
        <c:gapWidth val="55"/>
        <c:axId val="90129152"/>
        <c:axId val="90130688"/>
      </c:barChart>
      <c:catAx>
        <c:axId val="90129152"/>
        <c:scaling>
          <c:orientation val="minMax"/>
        </c:scaling>
        <c:delete val="0"/>
        <c:axPos val="b"/>
        <c:numFmt formatCode="0" sourceLinked="1"/>
        <c:majorTickMark val="none"/>
        <c:minorTickMark val="none"/>
        <c:tickLblPos val="nextTo"/>
        <c:txPr>
          <a:bodyPr rot="0" vert="horz"/>
          <a:lstStyle/>
          <a:p>
            <a:pPr>
              <a:defRPr sz="1000" b="1" i="0" u="none" strike="noStrike" baseline="0">
                <a:solidFill>
                  <a:srgbClr val="000000"/>
                </a:solidFill>
                <a:latin typeface="Calibri"/>
                <a:ea typeface="Calibri"/>
                <a:cs typeface="Calibri"/>
              </a:defRPr>
            </a:pPr>
            <a:endParaRPr lang="nl-NL"/>
          </a:p>
        </c:txPr>
        <c:crossAx val="90130688"/>
        <c:crosses val="autoZero"/>
        <c:auto val="1"/>
        <c:lblAlgn val="ctr"/>
        <c:lblOffset val="100"/>
        <c:noMultiLvlLbl val="0"/>
      </c:catAx>
      <c:valAx>
        <c:axId val="90130688"/>
        <c:scaling>
          <c:orientation val="minMax"/>
          <c:min val="0"/>
        </c:scaling>
        <c:delete val="0"/>
        <c:axPos val="l"/>
        <c:majorGridlines/>
        <c:numFmt formatCode="0.0%" sourceLinked="1"/>
        <c:majorTickMark val="none"/>
        <c:minorTickMark val="none"/>
        <c:tickLblPos val="nextTo"/>
        <c:txPr>
          <a:bodyPr rot="0" vert="horz"/>
          <a:lstStyle/>
          <a:p>
            <a:pPr>
              <a:defRPr sz="1000" b="1" i="0" u="none" strike="noStrike" baseline="0">
                <a:solidFill>
                  <a:srgbClr val="000000"/>
                </a:solidFill>
                <a:latin typeface="Calibri"/>
                <a:ea typeface="Calibri"/>
                <a:cs typeface="Calibri"/>
              </a:defRPr>
            </a:pPr>
            <a:endParaRPr lang="nl-NL"/>
          </a:p>
        </c:txPr>
        <c:crossAx val="90129152"/>
        <c:crosses val="autoZero"/>
        <c:crossBetween val="between"/>
      </c:valAx>
    </c:plotArea>
    <c:legend>
      <c:legendPos val="r"/>
      <c:layout>
        <c:manualLayout>
          <c:xMode val="edge"/>
          <c:yMode val="edge"/>
          <c:x val="0.6283112787985039"/>
          <c:y val="0.33796879556724174"/>
          <c:w val="0.26052811014282573"/>
          <c:h val="0.27545129775446175"/>
        </c:manualLayout>
      </c:layout>
      <c:overlay val="0"/>
      <c:txPr>
        <a:bodyPr/>
        <a:lstStyle/>
        <a:p>
          <a:pPr>
            <a:defRPr sz="920" b="0" i="0" u="none" strike="noStrike" baseline="0">
              <a:solidFill>
                <a:srgbClr val="000000"/>
              </a:solidFill>
              <a:latin typeface="Calibri"/>
              <a:ea typeface="Calibri"/>
              <a:cs typeface="Calibri"/>
            </a:defRPr>
          </a:pPr>
          <a:endParaRPr lang="nl-NL"/>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1465" l="0.70000000000000062" r="0.70000000000000062" t="0.7500000000000146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159580052493545E-2"/>
          <c:y val="0.19190614985281731"/>
          <c:w val="0.65327091386304703"/>
          <c:h val="0.71582256637810493"/>
        </c:manualLayout>
      </c:layout>
      <c:barChart>
        <c:barDir val="col"/>
        <c:grouping val="clustered"/>
        <c:varyColors val="0"/>
        <c:ser>
          <c:idx val="0"/>
          <c:order val="0"/>
          <c:tx>
            <c:strRef>
              <c:f>Balansprognose!$E$41</c:f>
              <c:strCache>
                <c:ptCount val="1"/>
                <c:pt idx="0">
                  <c:v>Netto schuldquote</c:v>
                </c:pt>
              </c:strCache>
            </c:strRef>
          </c:tx>
          <c:spPr>
            <a:solidFill>
              <a:srgbClr val="FF0000"/>
            </a:solidFill>
          </c:spPr>
          <c:invertIfNegative val="0"/>
          <c:dLbls>
            <c:showLegendKey val="0"/>
            <c:showVal val="1"/>
            <c:showCatName val="0"/>
            <c:showSerName val="0"/>
            <c:showPercent val="0"/>
            <c:showBubbleSize val="0"/>
            <c:showLeaderLines val="0"/>
          </c:dLbls>
          <c:cat>
            <c:strRef>
              <c:f>Balansprognose!$F$34:$G$34</c:f>
              <c:strCache>
                <c:ptCount val="2"/>
                <c:pt idx="0">
                  <c:v>Jaarrek. 2014</c:v>
                </c:pt>
                <c:pt idx="1">
                  <c:v>Begroting 2015</c:v>
                </c:pt>
              </c:strCache>
            </c:strRef>
          </c:cat>
          <c:val>
            <c:numRef>
              <c:f>Balansprognose!$F$41:$G$41</c:f>
              <c:numCache>
                <c:formatCode>0%</c:formatCode>
                <c:ptCount val="2"/>
                <c:pt idx="0" formatCode="0.0%">
                  <c:v>1</c:v>
                </c:pt>
                <c:pt idx="1">
                  <c:v>1.0002330288888892</c:v>
                </c:pt>
              </c:numCache>
            </c:numRef>
          </c:val>
        </c:ser>
        <c:ser>
          <c:idx val="1"/>
          <c:order val="1"/>
          <c:tx>
            <c:strRef>
              <c:f>Balansprognose!$E$42</c:f>
              <c:strCache>
                <c:ptCount val="1"/>
                <c:pt idx="0">
                  <c:v>Uitleenquote</c:v>
                </c:pt>
              </c:strCache>
            </c:strRef>
          </c:tx>
          <c:spPr>
            <a:solidFill>
              <a:srgbClr val="92D050"/>
            </a:solidFill>
          </c:spPr>
          <c:invertIfNegative val="0"/>
          <c:dLbls>
            <c:showLegendKey val="0"/>
            <c:showVal val="1"/>
            <c:showCatName val="0"/>
            <c:showSerName val="0"/>
            <c:showPercent val="0"/>
            <c:showBubbleSize val="0"/>
            <c:showLeaderLines val="0"/>
          </c:dLbls>
          <c:cat>
            <c:strRef>
              <c:f>Balansprognose!$F$34:$G$34</c:f>
              <c:strCache>
                <c:ptCount val="2"/>
                <c:pt idx="0">
                  <c:v>Jaarrek. 2014</c:v>
                </c:pt>
                <c:pt idx="1">
                  <c:v>Begroting 2015</c:v>
                </c:pt>
              </c:strCache>
            </c:strRef>
          </c:cat>
          <c:val>
            <c:numRef>
              <c:f>Balansprognose!$F$42:$G$42</c:f>
              <c:numCache>
                <c:formatCode>0%</c:formatCode>
                <c:ptCount val="2"/>
                <c:pt idx="0" formatCode="0.0%">
                  <c:v>2</c:v>
                </c:pt>
                <c:pt idx="1">
                  <c:v>2</c:v>
                </c:pt>
              </c:numCache>
            </c:numRef>
          </c:val>
        </c:ser>
        <c:ser>
          <c:idx val="2"/>
          <c:order val="2"/>
          <c:tx>
            <c:strRef>
              <c:f>Balansprognose!$E$43</c:f>
              <c:strCache>
                <c:ptCount val="1"/>
                <c:pt idx="0">
                  <c:v>Voorraadquote</c:v>
                </c:pt>
              </c:strCache>
            </c:strRef>
          </c:tx>
          <c:spPr>
            <a:solidFill>
              <a:schemeClr val="tx2"/>
            </a:solidFill>
          </c:spPr>
          <c:invertIfNegative val="0"/>
          <c:dLbls>
            <c:showLegendKey val="0"/>
            <c:showVal val="1"/>
            <c:showCatName val="0"/>
            <c:showSerName val="0"/>
            <c:showPercent val="0"/>
            <c:showBubbleSize val="0"/>
            <c:showLeaderLines val="0"/>
          </c:dLbls>
          <c:cat>
            <c:strRef>
              <c:f>Balansprognose!$F$34:$G$34</c:f>
              <c:strCache>
                <c:ptCount val="2"/>
                <c:pt idx="0">
                  <c:v>Jaarrek. 2014</c:v>
                </c:pt>
                <c:pt idx="1">
                  <c:v>Begroting 2015</c:v>
                </c:pt>
              </c:strCache>
            </c:strRef>
          </c:cat>
          <c:val>
            <c:numRef>
              <c:f>Balansprognose!$F$43:$G$43</c:f>
              <c:numCache>
                <c:formatCode>0%</c:formatCode>
                <c:ptCount val="2"/>
                <c:pt idx="0" formatCode="0.0%">
                  <c:v>3</c:v>
                </c:pt>
                <c:pt idx="1">
                  <c:v>3</c:v>
                </c:pt>
              </c:numCache>
            </c:numRef>
          </c:val>
        </c:ser>
        <c:dLbls>
          <c:showLegendKey val="0"/>
          <c:showVal val="0"/>
          <c:showCatName val="0"/>
          <c:showSerName val="0"/>
          <c:showPercent val="0"/>
          <c:showBubbleSize val="0"/>
        </c:dLbls>
        <c:gapWidth val="150"/>
        <c:axId val="93533696"/>
        <c:axId val="93535232"/>
      </c:barChart>
      <c:catAx>
        <c:axId val="93533696"/>
        <c:scaling>
          <c:orientation val="minMax"/>
        </c:scaling>
        <c:delete val="0"/>
        <c:axPos val="b"/>
        <c:majorTickMark val="out"/>
        <c:minorTickMark val="none"/>
        <c:tickLblPos val="nextTo"/>
        <c:txPr>
          <a:bodyPr/>
          <a:lstStyle/>
          <a:p>
            <a:pPr>
              <a:defRPr b="1"/>
            </a:pPr>
            <a:endParaRPr lang="nl-NL"/>
          </a:p>
        </c:txPr>
        <c:crossAx val="93535232"/>
        <c:crosses val="autoZero"/>
        <c:auto val="1"/>
        <c:lblAlgn val="ctr"/>
        <c:lblOffset val="100"/>
        <c:noMultiLvlLbl val="0"/>
      </c:catAx>
      <c:valAx>
        <c:axId val="93535232"/>
        <c:scaling>
          <c:orientation val="minMax"/>
        </c:scaling>
        <c:delete val="0"/>
        <c:axPos val="l"/>
        <c:majorGridlines/>
        <c:numFmt formatCode="0.0%" sourceLinked="1"/>
        <c:majorTickMark val="out"/>
        <c:minorTickMark val="none"/>
        <c:tickLblPos val="nextTo"/>
        <c:txPr>
          <a:bodyPr/>
          <a:lstStyle/>
          <a:p>
            <a:pPr>
              <a:defRPr b="1"/>
            </a:pPr>
            <a:endParaRPr lang="nl-NL"/>
          </a:p>
        </c:txPr>
        <c:crossAx val="93533696"/>
        <c:crosses val="autoZero"/>
        <c:crossBetween val="between"/>
      </c:valAx>
    </c:plotArea>
    <c:legend>
      <c:legendPos val="r"/>
      <c:overlay val="0"/>
    </c:legend>
    <c:plotVisOnly val="1"/>
    <c:dispBlanksAs val="gap"/>
    <c:showDLblsOverMax val="0"/>
  </c:chart>
  <c:printSettings>
    <c:headerFooter/>
    <c:pageMargins b="0.75000000000000577" l="0.70000000000000062" r="0.70000000000000062" t="0.75000000000000577"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1652587</xdr:colOff>
      <xdr:row>23</xdr:row>
      <xdr:rowOff>11906</xdr:rowOff>
    </xdr:from>
    <xdr:to>
      <xdr:col>10</xdr:col>
      <xdr:colOff>1112043</xdr:colOff>
      <xdr:row>44</xdr:row>
      <xdr:rowOff>35719</xdr:rowOff>
    </xdr:to>
    <xdr:graphicFrame macro="">
      <xdr:nvGraphicFramePr>
        <xdr:cNvPr id="4135" name="Grafiek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23812</xdr:rowOff>
    </xdr:from>
    <xdr:to>
      <xdr:col>5</xdr:col>
      <xdr:colOff>1571625</xdr:colOff>
      <xdr:row>44</xdr:row>
      <xdr:rowOff>35718</xdr:rowOff>
    </xdr:to>
    <xdr:graphicFrame macro="">
      <xdr:nvGraphicFramePr>
        <xdr:cNvPr id="6" name="Grafiek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0.45681</cdr:x>
      <cdr:y>0.03831</cdr:y>
    </cdr:from>
    <cdr:to>
      <cdr:x>0.98935</cdr:x>
      <cdr:y>0.11824</cdr:y>
    </cdr:to>
    <cdr:sp macro="" textlink="">
      <cdr:nvSpPr>
        <cdr:cNvPr id="2" name="Tekstvak 1"/>
        <cdr:cNvSpPr txBox="1"/>
      </cdr:nvSpPr>
      <cdr:spPr>
        <a:xfrm xmlns:a="http://schemas.openxmlformats.org/drawingml/2006/main">
          <a:off x="2858676" y="135009"/>
          <a:ext cx="3332574" cy="2817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nl-NL" sz="1100" b="1"/>
            <a:t>Ontwikkeling netto schuldquote eind 2014-24 </a:t>
          </a:r>
        </a:p>
      </cdr:txBody>
    </cdr:sp>
  </cdr:relSizeAnchor>
</c:userShapes>
</file>

<file path=xl/drawings/drawing3.xml><?xml version="1.0" encoding="utf-8"?>
<c:userShapes xmlns:c="http://schemas.openxmlformats.org/drawingml/2006/chart">
  <cdr:relSizeAnchor xmlns:cdr="http://schemas.openxmlformats.org/drawingml/2006/chartDrawing">
    <cdr:from>
      <cdr:x>0.03065</cdr:x>
      <cdr:y>0.03327</cdr:y>
    </cdr:from>
    <cdr:to>
      <cdr:x>0.37098</cdr:x>
      <cdr:y>0.10847</cdr:y>
    </cdr:to>
    <cdr:sp macro="" textlink="Macrogegevens!$C$2">
      <cdr:nvSpPr>
        <cdr:cNvPr id="2" name="Tekstvak 1"/>
        <cdr:cNvSpPr txBox="1"/>
      </cdr:nvSpPr>
      <cdr:spPr>
        <a:xfrm xmlns:a="http://schemas.openxmlformats.org/drawingml/2006/main">
          <a:off x="193251" y="120183"/>
          <a:ext cx="2145967" cy="2716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274D085-B9FA-4CAF-A9DB-7A33D350A29D}" type="TxLink">
            <a:rPr lang="en-US" sz="1100" b="1" i="0" u="none" strike="noStrike">
              <a:solidFill>
                <a:srgbClr val="000000"/>
              </a:solidFill>
              <a:latin typeface="+mn-lt"/>
              <a:cs typeface="Arial"/>
            </a:rPr>
            <a:pPr/>
            <a:t>Zwartewaterland</a:t>
          </a:fld>
          <a:endParaRPr lang="nl-NL" sz="1100">
            <a:latin typeface="+mn-lt"/>
          </a:endParaRPr>
        </a:p>
      </cdr:txBody>
    </cdr:sp>
  </cdr:relSizeAnchor>
  <cdr:relSizeAnchor xmlns:cdr="http://schemas.openxmlformats.org/drawingml/2006/chartDrawing">
    <cdr:from>
      <cdr:x>0.50084</cdr:x>
      <cdr:y>0.02852</cdr:y>
    </cdr:from>
    <cdr:to>
      <cdr:x>0.98397</cdr:x>
      <cdr:y>0.08324</cdr:y>
    </cdr:to>
    <cdr:sp macro="" textlink="">
      <cdr:nvSpPr>
        <cdr:cNvPr id="3" name="Tekstvak 2"/>
        <cdr:cNvSpPr txBox="1"/>
      </cdr:nvSpPr>
      <cdr:spPr>
        <a:xfrm xmlns:a="http://schemas.openxmlformats.org/drawingml/2006/main">
          <a:off x="3158101" y="103037"/>
          <a:ext cx="3046400" cy="19766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indent="0"/>
          <a:r>
            <a:rPr lang="nl-NL" sz="1100" b="1">
              <a:latin typeface="+mn-lt"/>
              <a:ea typeface="+mn-ea"/>
              <a:cs typeface="+mn-cs"/>
            </a:rPr>
            <a:t>kengetallen houdbaarheid 2014 - 2015</a:t>
          </a:r>
        </a:p>
        <a:p xmlns:a="http://schemas.openxmlformats.org/drawingml/2006/main">
          <a:pPr marL="0" indent="0"/>
          <a:endParaRPr lang="nl-NL" sz="1100" b="1">
            <a:latin typeface="+mn-lt"/>
            <a:ea typeface="+mn-ea"/>
            <a:cs typeface="+mn-cs"/>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7</xdr:col>
      <xdr:colOff>400050</xdr:colOff>
      <xdr:row>3</xdr:row>
      <xdr:rowOff>142875</xdr:rowOff>
    </xdr:from>
    <xdr:to>
      <xdr:col>16</xdr:col>
      <xdr:colOff>266700</xdr:colOff>
      <xdr:row>20</xdr:row>
      <xdr:rowOff>133350</xdr:rowOff>
    </xdr:to>
    <xdr:graphicFrame macro="">
      <xdr:nvGraphicFramePr>
        <xdr:cNvPr id="2061" name="Grafiek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400050</xdr:colOff>
      <xdr:row>21</xdr:row>
      <xdr:rowOff>121920</xdr:rowOff>
    </xdr:from>
    <xdr:to>
      <xdr:col>16</xdr:col>
      <xdr:colOff>266699</xdr:colOff>
      <xdr:row>42</xdr:row>
      <xdr:rowOff>169545</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0.02431</cdr:x>
      <cdr:y>0.01736</cdr:y>
    </cdr:from>
    <cdr:to>
      <cdr:x>0.38194</cdr:x>
      <cdr:y>0.09028</cdr:y>
    </cdr:to>
    <cdr:sp macro="" textlink="Macrogegevens!$C$2">
      <cdr:nvSpPr>
        <cdr:cNvPr id="4" name="Tekstvak 3"/>
        <cdr:cNvSpPr txBox="1"/>
      </cdr:nvSpPr>
      <cdr:spPr>
        <a:xfrm xmlns:a="http://schemas.openxmlformats.org/drawingml/2006/main">
          <a:off x="133352" y="47625"/>
          <a:ext cx="1962150"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C463A941-0D9B-472A-8F06-3112169CB947}" type="TxLink">
            <a:rPr lang="en-US" sz="1100" b="1" i="0" u="none" strike="noStrike">
              <a:solidFill>
                <a:srgbClr val="000000"/>
              </a:solidFill>
              <a:latin typeface="+mn-lt"/>
            </a:rPr>
            <a:pPr/>
            <a:t>Zwartewaterland</a:t>
          </a:fld>
          <a:endParaRPr lang="nl-NL" sz="1100">
            <a:latin typeface="+mn-lt"/>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0.0097</cdr:x>
      <cdr:y>0.0221</cdr:y>
    </cdr:from>
    <cdr:to>
      <cdr:x>0.37513</cdr:x>
      <cdr:y>0.08564</cdr:y>
    </cdr:to>
    <cdr:sp macro="" textlink="">
      <cdr:nvSpPr>
        <cdr:cNvPr id="2" name="Tekstvak 1"/>
        <cdr:cNvSpPr txBox="1"/>
      </cdr:nvSpPr>
      <cdr:spPr>
        <a:xfrm xmlns:a="http://schemas.openxmlformats.org/drawingml/2006/main">
          <a:off x="50800" y="76200"/>
          <a:ext cx="1914411" cy="21907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i="0" u="none" strike="noStrike">
            <a:solidFill>
              <a:srgbClr val="000000"/>
            </a:solidFill>
            <a:latin typeface="Arialri"/>
          </a:endParaRPr>
        </a:p>
        <a:p xmlns:a="http://schemas.openxmlformats.org/drawingml/2006/main">
          <a:endParaRPr lang="en-US" sz="1000" b="1" i="0" u="none" strike="noStrike">
            <a:solidFill>
              <a:srgbClr val="000000"/>
            </a:solidFill>
            <a:latin typeface="Arialri"/>
          </a:endParaRPr>
        </a:p>
      </cdr:txBody>
    </cdr:sp>
  </cdr:relSizeAnchor>
  <cdr:relSizeAnchor xmlns:cdr="http://schemas.openxmlformats.org/drawingml/2006/chartDrawing">
    <cdr:from>
      <cdr:x>0.03487</cdr:x>
      <cdr:y>0.04147</cdr:y>
    </cdr:from>
    <cdr:to>
      <cdr:x>0.3925</cdr:x>
      <cdr:y>0.09955</cdr:y>
    </cdr:to>
    <cdr:sp macro="" textlink="">
      <cdr:nvSpPr>
        <cdr:cNvPr id="3" name="Tekstvak 1"/>
        <cdr:cNvSpPr txBox="1"/>
      </cdr:nvSpPr>
      <cdr:spPr>
        <a:xfrm xmlns:a="http://schemas.openxmlformats.org/drawingml/2006/main">
          <a:off x="193040" y="152400"/>
          <a:ext cx="1979815" cy="2134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C463A941-0D9B-472A-8F06-3112169CB947}" type="TxLink">
            <a:rPr lang="en-US" sz="1100" b="1" i="0" u="none" strike="noStrike">
              <a:solidFill>
                <a:srgbClr val="000000"/>
              </a:solidFill>
              <a:latin typeface="Calibri"/>
            </a:rPr>
            <a:pPr/>
            <a:t>Zwartewaterland</a:t>
          </a:fld>
          <a:endParaRPr lang="nl-NL" sz="1100">
            <a:latin typeface="Calibri"/>
          </a:endParaRPr>
        </a:p>
      </cdr:txBody>
    </cdr:sp>
  </cdr:relSizeAnchor>
  <cdr:relSizeAnchor xmlns:cdr="http://schemas.openxmlformats.org/drawingml/2006/chartDrawing">
    <cdr:from>
      <cdr:x>0.4306</cdr:x>
      <cdr:y>0.03318</cdr:y>
    </cdr:from>
    <cdr:to>
      <cdr:x>0.62881</cdr:x>
      <cdr:y>0.10783</cdr:y>
    </cdr:to>
    <cdr:sp macro="" textlink="">
      <cdr:nvSpPr>
        <cdr:cNvPr id="4" name="Tekstvak 3"/>
        <cdr:cNvSpPr txBox="1"/>
      </cdr:nvSpPr>
      <cdr:spPr>
        <a:xfrm xmlns:a="http://schemas.openxmlformats.org/drawingml/2006/main">
          <a:off x="2383790" y="121920"/>
          <a:ext cx="1097280" cy="27432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nl-NL" sz="1100"/>
        </a:p>
      </cdr:txBody>
    </cdr:sp>
  </cdr:relSizeAnchor>
  <cdr:relSizeAnchor xmlns:cdr="http://schemas.openxmlformats.org/drawingml/2006/chartDrawing">
    <cdr:from>
      <cdr:x>0.46364</cdr:x>
      <cdr:y>0.03871</cdr:y>
    </cdr:from>
    <cdr:to>
      <cdr:x>0.98302</cdr:x>
      <cdr:y>0.10783</cdr:y>
    </cdr:to>
    <cdr:sp macro="" textlink="">
      <cdr:nvSpPr>
        <cdr:cNvPr id="5" name="Tekstvak 4"/>
        <cdr:cNvSpPr txBox="1"/>
      </cdr:nvSpPr>
      <cdr:spPr>
        <a:xfrm xmlns:a="http://schemas.openxmlformats.org/drawingml/2006/main">
          <a:off x="2566670" y="142240"/>
          <a:ext cx="2875280" cy="25400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nl-NL" sz="1100" b="1"/>
            <a:t>Ontwikkeling schuldbelasting  eind 2014-2015</a:t>
          </a:r>
        </a:p>
      </cdr:txBody>
    </cdr:sp>
  </cdr:relSizeAnchor>
</c:userShape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34"/>
  <sheetViews>
    <sheetView showGridLines="0" tabSelected="1" zoomScale="80" zoomScaleNormal="80" workbookViewId="0">
      <selection activeCell="C2" sqref="C2"/>
    </sheetView>
  </sheetViews>
  <sheetFormatPr defaultColWidth="9.140625" defaultRowHeight="12.75" x14ac:dyDescent="0.2"/>
  <cols>
    <col min="1" max="1" width="4" style="16" bestFit="1" customWidth="1"/>
    <col min="2" max="2" width="39.28515625" style="16" bestFit="1" customWidth="1"/>
    <col min="3" max="3" width="18.7109375" style="16" customWidth="1"/>
    <col min="4" max="4" width="3.140625" style="16" customWidth="1"/>
    <col min="5" max="5" width="4" style="16" bestFit="1" customWidth="1"/>
    <col min="6" max="6" width="56.28515625" style="16" bestFit="1" customWidth="1"/>
    <col min="7" max="7" width="18.7109375" style="16" customWidth="1"/>
    <col min="8" max="8" width="17.7109375" style="3" customWidth="1"/>
    <col min="9" max="9" width="11.28515625" style="3" customWidth="1"/>
    <col min="10" max="10" width="6" style="5" customWidth="1"/>
    <col min="11" max="11" width="19.7109375" style="5" customWidth="1"/>
    <col min="12" max="12" width="20.5703125" style="3" customWidth="1"/>
    <col min="13" max="13" width="20.28515625" style="5" customWidth="1"/>
    <col min="14" max="14" width="20.140625" style="5" customWidth="1"/>
    <col min="15" max="15" width="21.42578125" style="5" customWidth="1"/>
    <col min="16" max="16" width="32.85546875" style="3" hidden="1" customWidth="1"/>
    <col min="17" max="18" width="14.42578125" style="3" hidden="1" customWidth="1"/>
    <col min="19" max="19" width="18.7109375" style="3" hidden="1" customWidth="1"/>
    <col min="20" max="20" width="18.42578125" style="3" customWidth="1"/>
    <col min="21" max="21" width="18.28515625" style="3" customWidth="1"/>
    <col min="22" max="22" width="18.7109375" style="3" hidden="1" customWidth="1"/>
    <col min="23" max="23" width="14.28515625" style="3" customWidth="1"/>
    <col min="24" max="24" width="18.85546875" style="16" customWidth="1"/>
    <col min="25" max="25" width="18.7109375" style="3" hidden="1" customWidth="1"/>
    <col min="26" max="26" width="9.85546875" style="16" hidden="1" customWidth="1"/>
    <col min="27" max="28" width="0" style="16" hidden="1" customWidth="1"/>
    <col min="29" max="16384" width="9.140625" style="16"/>
  </cols>
  <sheetData>
    <row r="1" spans="1:26" x14ac:dyDescent="0.2">
      <c r="A1" s="256" t="s">
        <v>172</v>
      </c>
      <c r="B1" s="256"/>
      <c r="C1" s="53">
        <v>2015</v>
      </c>
      <c r="J1" s="109"/>
      <c r="K1" s="109"/>
      <c r="L1" s="110"/>
      <c r="M1" s="109"/>
      <c r="N1" s="109"/>
      <c r="O1" s="109"/>
      <c r="P1" s="110"/>
      <c r="Q1" s="110"/>
      <c r="R1" s="110"/>
      <c r="S1" s="110"/>
      <c r="T1" s="110"/>
      <c r="U1" s="110"/>
      <c r="V1" s="110"/>
      <c r="W1" s="110"/>
      <c r="X1" s="111"/>
    </row>
    <row r="2" spans="1:26" x14ac:dyDescent="0.2">
      <c r="A2" s="61" t="s">
        <v>146</v>
      </c>
      <c r="B2" s="54"/>
      <c r="C2" s="89" t="s">
        <v>296</v>
      </c>
      <c r="E2" s="255" t="s">
        <v>729</v>
      </c>
      <c r="F2" s="255"/>
      <c r="G2" s="87" t="s">
        <v>828</v>
      </c>
      <c r="H2" s="88" t="s">
        <v>155</v>
      </c>
      <c r="I2" s="199" t="s">
        <v>709</v>
      </c>
      <c r="J2" s="1" t="s">
        <v>642</v>
      </c>
      <c r="K2" s="110"/>
      <c r="L2" s="110"/>
      <c r="M2" s="110"/>
      <c r="N2" s="110"/>
      <c r="O2" s="110"/>
      <c r="P2" s="110"/>
      <c r="Q2" s="110"/>
      <c r="R2" s="110"/>
      <c r="S2" s="110"/>
      <c r="T2" s="110"/>
      <c r="U2" s="110"/>
      <c r="V2" s="110"/>
      <c r="W2" s="110"/>
      <c r="X2" s="110"/>
      <c r="Z2" s="53" t="s">
        <v>206</v>
      </c>
    </row>
    <row r="3" spans="1:26" x14ac:dyDescent="0.2">
      <c r="A3" s="255" t="s">
        <v>163</v>
      </c>
      <c r="B3" s="255"/>
      <c r="C3" s="221"/>
      <c r="E3" s="54">
        <v>1</v>
      </c>
      <c r="F3" s="54" t="s">
        <v>824</v>
      </c>
      <c r="G3" s="59">
        <f>IF(G2="Slechtweer",5.5%,Z3)</f>
        <v>5.5E-2</v>
      </c>
      <c r="H3" s="55">
        <f>'Inkomsten &amp; uitgaven'!C92*-G3</f>
        <v>542321.1088293076</v>
      </c>
      <c r="I3" s="200">
        <v>3.5000000000000003E-2</v>
      </c>
      <c r="J3" s="112" t="s">
        <v>26</v>
      </c>
      <c r="K3" s="112" t="s">
        <v>80</v>
      </c>
      <c r="L3" s="112" t="s">
        <v>25</v>
      </c>
      <c r="M3" s="112" t="s">
        <v>203</v>
      </c>
      <c r="N3" s="112" t="s">
        <v>790</v>
      </c>
      <c r="O3" s="112" t="s">
        <v>631</v>
      </c>
      <c r="P3" s="110"/>
      <c r="Q3" s="110"/>
      <c r="R3" s="110"/>
      <c r="S3" s="112" t="s">
        <v>81</v>
      </c>
      <c r="T3" s="112" t="s">
        <v>202</v>
      </c>
      <c r="U3" s="112" t="s">
        <v>678</v>
      </c>
      <c r="V3" s="112" t="s">
        <v>201</v>
      </c>
      <c r="W3" s="112" t="s">
        <v>145</v>
      </c>
      <c r="X3" s="138" t="s">
        <v>643</v>
      </c>
      <c r="Y3" s="53" t="s">
        <v>710</v>
      </c>
      <c r="Z3" s="16">
        <f>IF(G2="Handmatig",I3,0%)</f>
        <v>0</v>
      </c>
    </row>
    <row r="4" spans="1:26" x14ac:dyDescent="0.2">
      <c r="A4" s="54">
        <v>1</v>
      </c>
      <c r="B4" s="54" t="s">
        <v>152</v>
      </c>
      <c r="C4" s="62">
        <v>0.01</v>
      </c>
      <c r="D4" s="20"/>
      <c r="E4" s="54">
        <v>2</v>
      </c>
      <c r="F4" s="54" t="s">
        <v>825</v>
      </c>
      <c r="G4" s="59">
        <f>IF(G2="Slechtweer",5.5%,Z4)</f>
        <v>5.5E-2</v>
      </c>
      <c r="H4" s="55">
        <f>'Inkomsten &amp; uitgaven'!C92*-G4</f>
        <v>542321.1088293076</v>
      </c>
      <c r="I4" s="58">
        <v>3.5000000000000003E-2</v>
      </c>
      <c r="J4" s="113">
        <f>SUM(C1,-1)</f>
        <v>2014</v>
      </c>
      <c r="K4" s="114">
        <f>V4/Balansprognose!F35*-1</f>
        <v>1</v>
      </c>
      <c r="L4" s="115">
        <f>Balansprognose!F35</f>
        <v>1</v>
      </c>
      <c r="M4" s="115" t="s">
        <v>205</v>
      </c>
      <c r="N4" s="115" t="s">
        <v>821</v>
      </c>
      <c r="O4" s="115" t="s">
        <v>204</v>
      </c>
      <c r="P4" s="110" t="s">
        <v>89</v>
      </c>
      <c r="Q4" s="110" t="s">
        <v>90</v>
      </c>
      <c r="R4" s="110" t="s">
        <v>91</v>
      </c>
      <c r="S4" s="116">
        <f>SUM('Investeringen &amp; financiering'!C29:D29)</f>
        <v>2</v>
      </c>
      <c r="T4" s="116"/>
      <c r="U4" s="112"/>
      <c r="V4" s="25">
        <f>SUM('Investeringen &amp; financiering'!P29,-S4)</f>
        <v>-1</v>
      </c>
      <c r="W4" s="135">
        <f>C17</f>
        <v>22164</v>
      </c>
      <c r="X4" s="137">
        <f>Y4/W4</f>
        <v>4.5118209709438729E-5</v>
      </c>
      <c r="Y4" s="203">
        <f t="shared" ref="Y4:Y14" si="0">SUM(V4,S4)</f>
        <v>1</v>
      </c>
      <c r="Z4" s="16">
        <f>IF(G2="Handmatig",I4,0%)</f>
        <v>0</v>
      </c>
    </row>
    <row r="5" spans="1:26" x14ac:dyDescent="0.2">
      <c r="A5" s="54">
        <v>2</v>
      </c>
      <c r="B5" s="54" t="s">
        <v>153</v>
      </c>
      <c r="C5" s="62">
        <f>SUM(C4,-0.002)</f>
        <v>8.0000000000000002E-3</v>
      </c>
      <c r="D5" s="27"/>
      <c r="E5" s="54">
        <v>3</v>
      </c>
      <c r="F5" s="54" t="s">
        <v>826</v>
      </c>
      <c r="G5" s="59">
        <f>IF($G$2="Slechtweer",1.5%,$Z$5)</f>
        <v>1.4999999999999999E-2</v>
      </c>
      <c r="H5" s="55">
        <f>'Inkomsten &amp; uitgaven'!C93*-G5</f>
        <v>4.6360113333333335E-2</v>
      </c>
      <c r="I5" s="58">
        <v>0.01</v>
      </c>
      <c r="J5" s="110">
        <f>C1</f>
        <v>2015</v>
      </c>
      <c r="K5" s="114">
        <f t="shared" ref="K5:K14" si="1">V5/L5*-1</f>
        <v>1.0002330288888892</v>
      </c>
      <c r="L5" s="14">
        <f>SUM(U5,'Inkomsten &amp; uitgaven'!I30,'Investeringen &amp; financiering'!D7,Balansprognose!C39,Balansprognose!C40)</f>
        <v>1</v>
      </c>
      <c r="M5" s="115">
        <f>SUM(-T5,-Balansprognose!C44,-Balansprognose!C45,'Inkomsten &amp; uitgaven'!J30)</f>
        <v>-1.9997669711111112</v>
      </c>
      <c r="N5" s="136">
        <f>SUM('Investeringen &amp; financiering'!D7,Balansprognose!C44,Balansprognose!C45)</f>
        <v>0</v>
      </c>
      <c r="O5" s="115">
        <f>-SUM('Investeringen &amp; financiering'!C6,'Investeringen &amp; financiering'!E6,'Investeringen &amp; financiering'!F6,'Investeringen &amp; financiering'!G6)</f>
        <v>3</v>
      </c>
      <c r="P5" s="116">
        <f>'Inkomsten &amp; uitgaven'!N30</f>
        <v>2.9681611933333332</v>
      </c>
      <c r="Q5" s="116">
        <f>'Investeringen &amp; financiering'!T6</f>
        <v>-3.0150000000000001</v>
      </c>
      <c r="R5" s="116">
        <f>'Investeringen &amp; financiering'!R54</f>
        <v>4.6605777777777788E-2</v>
      </c>
      <c r="S5" s="30">
        <f>SUM('Investeringen &amp; financiering'!C53,'Investeringen &amp; financiering'!D53,-'Investeringen &amp; financiering'!C54,-'Investeringen &amp; financiering'!D54,-Balansprognose!C43,-'Investeringen &amp; financiering'!N54)</f>
        <v>2</v>
      </c>
      <c r="T5" s="24">
        <f>SUM('Investeringen &amp; financiering'!S6,'Investeringen &amp; financiering'!S54,'Inkomsten &amp; uitgaven'!M30)</f>
        <v>-9.0907251111111115E-2</v>
      </c>
      <c r="U5" s="136">
        <f>'Investeringen &amp; financiering'!T54</f>
        <v>0.13728000000000001</v>
      </c>
      <c r="V5" s="25">
        <f>SUM(V4,P5:R5,-Balansprognose!C41,-Balansprognose!C42)</f>
        <v>-1.0002330288888892</v>
      </c>
      <c r="W5" s="135">
        <f>SUM(W4,W4*C9)</f>
        <v>22079.111111111109</v>
      </c>
      <c r="X5" s="137">
        <f t="shared" ref="X5:X14" si="2">Y5/W5</f>
        <v>4.5281124139458101E-5</v>
      </c>
      <c r="Y5" s="203">
        <f t="shared" si="0"/>
        <v>0.99976697111111079</v>
      </c>
      <c r="Z5" s="16">
        <f>IF(G2="Handmatig",I5,0%)</f>
        <v>0</v>
      </c>
    </row>
    <row r="6" spans="1:26" x14ac:dyDescent="0.2">
      <c r="A6" s="54">
        <v>3</v>
      </c>
      <c r="B6" s="54" t="s">
        <v>740</v>
      </c>
      <c r="C6" s="62">
        <v>1.4999999999999999E-2</v>
      </c>
      <c r="D6" s="20"/>
      <c r="E6" s="54">
        <v>4</v>
      </c>
      <c r="F6" s="54" t="s">
        <v>827</v>
      </c>
      <c r="G6" s="59">
        <f>IF($G$2="Slechtweer",1.5%,$Z$6)</f>
        <v>1.4999999999999999E-2</v>
      </c>
      <c r="H6" s="55">
        <f>'Inkomsten &amp; uitgaven'!C93*-G6</f>
        <v>4.6360113333333335E-2</v>
      </c>
      <c r="I6" s="58">
        <v>0.01</v>
      </c>
      <c r="J6" s="110">
        <f>SUM(C1,1)</f>
        <v>2016</v>
      </c>
      <c r="K6" s="114">
        <f t="shared" si="1"/>
        <v>0.85203876592062155</v>
      </c>
      <c r="L6" s="14">
        <f>SUM(U6,'Inkomsten &amp; uitgaven'!I31,'Investeringen &amp; financiering'!N9)</f>
        <v>5735699.9990873486</v>
      </c>
      <c r="M6" s="14">
        <f>SUM('Inkomsten &amp; uitgaven'!J31,-'Inkomsten &amp; uitgaven'!K31,-T6,-'Investeringen &amp; financiering'!D8)</f>
        <v>8518583.437021384</v>
      </c>
      <c r="N6" s="24">
        <f>SUM('Investeringen &amp; financiering'!D9,'Investeringen &amp; financiering'!D8)</f>
        <v>-2734500</v>
      </c>
      <c r="O6" s="115">
        <f>-SUM('Investeringen &amp; financiering'!C8,'Investeringen &amp; financiering'!E8,'Investeringen &amp; financiering'!F8,'Investeringen &amp; financiering'!G8)*SUM(1,-G21)</f>
        <v>2104154.1107462305</v>
      </c>
      <c r="P6" s="116">
        <f>'Inkomsten &amp; uitgaven'!N31</f>
        <v>3.0967670843789343</v>
      </c>
      <c r="Q6" s="116">
        <f>'Investeringen &amp; financiering'!T8</f>
        <v>-4887040.6820036937</v>
      </c>
      <c r="R6" s="116">
        <f>'Investeringen &amp; financiering'!R56</f>
        <v>-0.16344365650793655</v>
      </c>
      <c r="S6" s="116">
        <f>SUM(S5,-'Investeringen &amp; financiering'!C56,-'Investeringen &amp; financiering'!D56,-'Investeringen &amp; financiering'!N56)</f>
        <v>1.8000000000000003</v>
      </c>
      <c r="T6" s="24">
        <f>SUM('Investeringen &amp; financiering'!S8,'Investeringen &amp; financiering'!S56,'Inkomsten &amp; uitgaven'!M31)</f>
        <v>-48386.605174990655</v>
      </c>
      <c r="U6" s="136">
        <f>'Investeringen &amp; financiering'!T56</f>
        <v>0.13052266666666665</v>
      </c>
      <c r="V6" s="25">
        <f>SUM(V5,P6:R6)</f>
        <v>-4887038.7489132946</v>
      </c>
      <c r="W6" s="135">
        <f>SUM(W5,W5*C9)</f>
        <v>21994.547349611537</v>
      </c>
      <c r="X6" s="137">
        <f t="shared" si="2"/>
        <v>-222.19311319446675</v>
      </c>
      <c r="Y6" s="203">
        <f t="shared" si="0"/>
        <v>-4887036.9489132948</v>
      </c>
      <c r="Z6" s="16">
        <f>IF(G2="Handmatig",I6,0%)</f>
        <v>0</v>
      </c>
    </row>
    <row r="7" spans="1:26" x14ac:dyDescent="0.2">
      <c r="A7" s="54">
        <v>4</v>
      </c>
      <c r="B7" s="54" t="s">
        <v>3</v>
      </c>
      <c r="C7" s="62">
        <f>SUM(C4,0.5*C6)</f>
        <v>1.7500000000000002E-2</v>
      </c>
      <c r="D7" s="27"/>
      <c r="E7" s="54">
        <v>5</v>
      </c>
      <c r="F7" s="54" t="s">
        <v>692</v>
      </c>
      <c r="G7" s="185">
        <f>IF($G$2="Slechtweer",10%,$Z$7)</f>
        <v>0.1</v>
      </c>
      <c r="H7" s="55"/>
      <c r="I7" s="205">
        <v>0.05</v>
      </c>
      <c r="J7" s="110">
        <f>SUM(C1,2)</f>
        <v>2017</v>
      </c>
      <c r="K7" s="114">
        <f t="shared" si="1"/>
        <v>1.7276335198427994</v>
      </c>
      <c r="L7" s="14">
        <f>SUM(U7,'Inkomsten &amp; uitgaven'!I32,'Investeringen &amp; financiering'!N11)</f>
        <v>5735700.0010605371</v>
      </c>
      <c r="M7" s="14">
        <f>SUM('Inkomsten &amp; uitgaven'!J32,-'Inkomsten &amp; uitgaven'!K32,-T7,-'Investeringen &amp; financiering'!D10)</f>
        <v>8640712.1589572858</v>
      </c>
      <c r="N7" s="24">
        <f>SUM('Investeringen &amp; financiering'!D10,'Investeringen &amp; financiering'!D11)</f>
        <v>-2734500</v>
      </c>
      <c r="O7" s="115">
        <f>-SUM('Investeringen &amp; financiering'!C10,'Investeringen &amp; financiering'!E10,'Investeringen &amp; financiering'!F10,'Investeringen &amp; financiering'!G10)*SUM(1,-G21)</f>
        <v>2117136.6747845206</v>
      </c>
      <c r="P7" s="116">
        <f>'Inkomsten &amp; uitgaven'!N32</f>
        <v>3.2040313438270713</v>
      </c>
      <c r="Q7" s="116">
        <f>'Investeringen &amp; financiering'!T10</f>
        <v>-5022152.068696362</v>
      </c>
      <c r="R7" s="116">
        <f>'Investeringen &amp; financiering'!R58</f>
        <v>3.1983748750183116E-2</v>
      </c>
      <c r="S7" s="116">
        <f>SUM(S6,-'Investeringen &amp; financiering'!C58,-'Investeringen &amp; financiering'!D58,-'Investeringen &amp; financiering'!N58)</f>
        <v>1.8000000000000003</v>
      </c>
      <c r="T7" s="24">
        <f>SUM('Investeringen &amp; financiering'!S10,'Investeringen &amp; financiering'!S58,'Inkomsten &amp; uitgaven'!M32)</f>
        <v>-170515.35853886753</v>
      </c>
      <c r="U7" s="136">
        <f>'Investeringen &amp; financiering'!T58</f>
        <v>0.13422399999999998</v>
      </c>
      <c r="V7" s="25">
        <f t="shared" ref="V7:V14" si="3">SUM(V6,P7:R7)</f>
        <v>-9909187.581594564</v>
      </c>
      <c r="W7" s="135">
        <f>SUM(W6,W6*C9)</f>
        <v>21910.307470252101</v>
      </c>
      <c r="X7" s="137">
        <f t="shared" si="2"/>
        <v>-452.26137492814235</v>
      </c>
      <c r="Y7" s="203">
        <f t="shared" si="0"/>
        <v>-9909185.7815945633</v>
      </c>
      <c r="Z7" s="16">
        <f>IF(G2="Handmatig",I7,0%)</f>
        <v>0</v>
      </c>
    </row>
    <row r="8" spans="1:26" x14ac:dyDescent="0.2">
      <c r="A8" s="54">
        <v>5</v>
      </c>
      <c r="B8" s="54" t="s">
        <v>19</v>
      </c>
      <c r="C8" s="62">
        <v>3.2000000000000002E-3</v>
      </c>
      <c r="D8" s="27"/>
      <c r="E8" s="54">
        <v>6</v>
      </c>
      <c r="F8" s="54" t="s">
        <v>695</v>
      </c>
      <c r="G8" s="185">
        <f>IF($G$2="Slechtweer",10%,$Z$8)</f>
        <v>0.1</v>
      </c>
      <c r="H8" s="55"/>
      <c r="I8" s="205">
        <v>0.05</v>
      </c>
      <c r="J8" s="110">
        <f>SUM(C1,3)</f>
        <v>2018</v>
      </c>
      <c r="K8" s="114">
        <f t="shared" si="1"/>
        <v>2.6360484250752028</v>
      </c>
      <c r="L8" s="14">
        <f>SUM(U8,'Inkomsten &amp; uitgaven'!I33,'Investeringen &amp; financiering'!N13)</f>
        <v>5735699.9943416705</v>
      </c>
      <c r="M8" s="14">
        <f>SUM(-'Inkomsten &amp; uitgaven'!K33,-T8,-'Investeringen &amp; financiering'!D12,'Inkomsten &amp; uitgaven'!J33)</f>
        <v>8815896.0087427646</v>
      </c>
      <c r="N8" s="24">
        <f>SUM('Investeringen &amp; financiering'!D12,'Investeringen &amp; financiering'!D13)</f>
        <v>-2734500</v>
      </c>
      <c r="O8" s="115">
        <f>-SUM('Investeringen &amp; financiering'!C12,'Investeringen &amp; financiering'!E12,'Investeringen &amp; financiering'!F12,'Investeringen &amp; financiering'!G12)*SUM(1,-G21)</f>
        <v>2130199.3407925512</v>
      </c>
      <c r="P8" s="116">
        <f>'Inkomsten &amp; uitgaven'!N33</f>
        <v>3.3460730233581235</v>
      </c>
      <c r="Q8" s="116">
        <f>'Investeringen &amp; financiering'!T12</f>
        <v>-5210398.7334593674</v>
      </c>
      <c r="R8" s="116">
        <f>'Investeringen &amp; financiering'!R60</f>
        <v>3.2192697110124527E-2</v>
      </c>
      <c r="S8" s="116">
        <f>SUM(S7,-'Investeringen &amp; financiering'!C60,-'Investeringen &amp; financiering'!D60,-'Investeringen &amp; financiering'!N60)</f>
        <v>1.8000000000000003</v>
      </c>
      <c r="T8" s="24">
        <f>SUM('Investeringen &amp; financiering'!S12,'Investeringen &amp; financiering'!S60,'Inkomsten &amp; uitgaven'!M33)</f>
        <v>-345699.24006408494</v>
      </c>
      <c r="U8" s="136">
        <f>'Investeringen &amp; financiering'!T60</f>
        <v>0.12925599999999998</v>
      </c>
      <c r="V8" s="25">
        <f t="shared" si="3"/>
        <v>-15119582.936788211</v>
      </c>
      <c r="W8" s="135">
        <f>SUM(W7,W7*C9)</f>
        <v>21826.390232552967</v>
      </c>
      <c r="X8" s="137">
        <f t="shared" si="2"/>
        <v>-692.72018761206391</v>
      </c>
      <c r="Y8" s="203">
        <f t="shared" si="0"/>
        <v>-15119581.13678821</v>
      </c>
      <c r="Z8" s="16">
        <f>IF(G2="Handmatig",I8,0%)</f>
        <v>0</v>
      </c>
    </row>
    <row r="9" spans="1:26" x14ac:dyDescent="0.2">
      <c r="A9" s="54">
        <v>6</v>
      </c>
      <c r="B9" s="54" t="s">
        <v>197</v>
      </c>
      <c r="C9" s="62">
        <f>VLOOKUP($C$2,'Data macrogegevens'!$A$1:$B$395,2,0)</f>
        <v>-3.830034690890132E-3</v>
      </c>
      <c r="D9" s="20"/>
      <c r="E9" s="54">
        <v>7</v>
      </c>
      <c r="F9" s="54" t="s">
        <v>693</v>
      </c>
      <c r="G9" s="185">
        <f>IF($G$2="Slechtweer",10%,$Z$9)</f>
        <v>0.1</v>
      </c>
      <c r="H9" s="56"/>
      <c r="I9" s="205">
        <v>0.05</v>
      </c>
      <c r="J9" s="110">
        <f>SUM(C1,4)</f>
        <v>2019</v>
      </c>
      <c r="K9" s="114">
        <f t="shared" si="1"/>
        <v>2.9519301714090918</v>
      </c>
      <c r="L9" s="14">
        <f>SUM(U9,'Inkomsten &amp; uitgaven'!I34,'Investeringen &amp; financiering'!N15)</f>
        <v>6647199.9890371151</v>
      </c>
      <c r="M9" s="14">
        <f>SUM(-'Inkomsten &amp; uitgaven'!K34,-T9,-'Investeringen &amp; financiering'!D14,'Inkomsten &amp; uitgaven'!J34)</f>
        <v>9006344.6522810496</v>
      </c>
      <c r="N9" s="24">
        <f>SUM('Investeringen &amp; financiering'!D14,'Investeringen &amp; financiering'!D15)</f>
        <v>-1823000</v>
      </c>
      <c r="O9" s="115">
        <f>-SUM('Investeringen &amp; financiering'!C14,'Investeringen &amp; financiering'!E14,'Investeringen &amp; financiering'!F14,'Investeringen &amp; financiering'!G14)*SUM(1,-G21)</f>
        <v>2143342.6029966949</v>
      </c>
      <c r="P9" s="116">
        <f>'Inkomsten &amp; uitgaven'!N34</f>
        <v>3.5108022658984677</v>
      </c>
      <c r="Q9" s="116">
        <f>'Investeringen &amp; financiering'!T14</f>
        <v>-4502490.8102459693</v>
      </c>
      <c r="R9" s="116">
        <f>'Investeringen &amp; financiering'!R62</f>
        <v>3.3203071661196168E-2</v>
      </c>
      <c r="S9" s="116">
        <f>SUM(S8,-'Investeringen &amp; financiering'!C62,-'Investeringen &amp; financiering'!D62,-'Investeringen &amp; financiering'!N62)</f>
        <v>1.8000000000000003</v>
      </c>
      <c r="T9" s="24">
        <f>SUM('Investeringen &amp; financiering'!S14,'Investeringen &amp; financiering'!S62,'Inkomsten &amp; uitgaven'!M34)</f>
        <v>-536147.91565696616</v>
      </c>
      <c r="U9" s="136">
        <f>'Investeringen &amp; financiering'!T62</f>
        <v>0.12572533333333333</v>
      </c>
      <c r="V9" s="25">
        <f t="shared" si="3"/>
        <v>-19622070.203028843</v>
      </c>
      <c r="W9" s="135">
        <f>SUM(W8,W8*C9)</f>
        <v>21742.794400785384</v>
      </c>
      <c r="X9" s="137">
        <f t="shared" si="2"/>
        <v>-902.46304321950731</v>
      </c>
      <c r="Y9" s="203">
        <f t="shared" si="0"/>
        <v>-19622068.403028842</v>
      </c>
      <c r="Z9" s="16">
        <f>IF(G2="Handmatig",I9,0%)</f>
        <v>0</v>
      </c>
    </row>
    <row r="10" spans="1:26" x14ac:dyDescent="0.2">
      <c r="A10" s="54">
        <v>7</v>
      </c>
      <c r="B10" s="54" t="s">
        <v>92</v>
      </c>
      <c r="C10" s="97" t="str">
        <f>VLOOKUP($C$2,'Data macrogegevens'!$A$1:$C$395,3,0)</f>
        <v>Laag</v>
      </c>
      <c r="D10" s="20"/>
      <c r="E10" s="54">
        <v>8</v>
      </c>
      <c r="F10" s="54" t="s">
        <v>694</v>
      </c>
      <c r="G10" s="185">
        <f>IF($G$2="Slechtweer",10%,$Z$10)</f>
        <v>0.1</v>
      </c>
      <c r="H10" s="56"/>
      <c r="I10" s="205">
        <v>0.05</v>
      </c>
      <c r="J10" s="110">
        <f>SUM(C1,5)</f>
        <v>2020</v>
      </c>
      <c r="K10" s="114">
        <f t="shared" si="1"/>
        <v>3.0942378745068093</v>
      </c>
      <c r="L10" s="14">
        <f>SUM(U10,'Inkomsten &amp; uitgaven'!I35,'Investeringen &amp; financiering'!N17)</f>
        <v>7558699.983765237</v>
      </c>
      <c r="M10" s="14">
        <f>SUM(-'Inkomsten &amp; uitgaven'!K35,-T10,-'Investeringen &amp; financiering'!D16,'Inkomsten &amp; uitgaven'!J35)</f>
        <v>9168478.5938641131</v>
      </c>
      <c r="N10" s="24">
        <f>SUM('Investeringen &amp; financiering'!D16,'Investeringen &amp; financiering'!D17)</f>
        <v>-911500</v>
      </c>
      <c r="O10" s="115">
        <f>-SUM('Investeringen &amp; financiering'!C16,'Investeringen &amp; financiering'!E16,'Investeringen &amp; financiering'!F16,'Investeringen &amp; financiering'!G16)*SUM(1,-G21)</f>
        <v>2156566.9586726869</v>
      </c>
      <c r="P10" s="116">
        <f>'Inkomsten &amp; uitgaven'!N35</f>
        <v>3.682421228223701</v>
      </c>
      <c r="Q10" s="116">
        <f>'Investeringen &amp; financiering'!T16</f>
        <v>-3766349.2854453195</v>
      </c>
      <c r="R10" s="116">
        <f>'Investeringen &amp; financiering'!R64</f>
        <v>3.4252527860977308E-2</v>
      </c>
      <c r="S10" s="116">
        <f>SUM(S9,-'Investeringen &amp; financiering'!C64,-'Investeringen &amp; financiering'!D64,-'Investeringen &amp; financiering'!N64)</f>
        <v>1.8000000000000003</v>
      </c>
      <c r="T10" s="24">
        <f>SUM('Investeringen &amp; financiering'!S16,'Investeringen &amp; financiering'!S64,'Inkomsten &amp; uitgaven'!M35)</f>
        <v>-698281.88961260405</v>
      </c>
      <c r="U10" s="136">
        <f>'Investeringen &amp; financiering'!T64</f>
        <v>0.12225066666666663</v>
      </c>
      <c r="V10" s="25">
        <f t="shared" si="3"/>
        <v>-23388415.771800403</v>
      </c>
      <c r="W10" s="135">
        <f>SUM(W9,W9*C9)</f>
        <v>21659.518743953486</v>
      </c>
      <c r="X10" s="137">
        <f t="shared" si="2"/>
        <v>-1079.8214978035724</v>
      </c>
      <c r="Y10" s="203">
        <f t="shared" si="0"/>
        <v>-23388413.971800402</v>
      </c>
      <c r="Z10" s="16">
        <f>IF(G2="Handmatig",I10,0%)</f>
        <v>0</v>
      </c>
    </row>
    <row r="11" spans="1:26" x14ac:dyDescent="0.2">
      <c r="A11" s="54">
        <v>8</v>
      </c>
      <c r="B11" s="54" t="s">
        <v>86</v>
      </c>
      <c r="C11" s="62">
        <v>1.4E-2</v>
      </c>
      <c r="D11" s="20"/>
      <c r="E11" s="54">
        <v>9</v>
      </c>
      <c r="F11" s="54" t="s">
        <v>688</v>
      </c>
      <c r="G11" s="187"/>
      <c r="H11" s="56"/>
      <c r="I11" s="198"/>
      <c r="J11" s="110">
        <f>SUM(C1,6)</f>
        <v>2021</v>
      </c>
      <c r="K11" s="204">
        <f t="shared" si="1"/>
        <v>3.1155412225237655</v>
      </c>
      <c r="L11" s="14">
        <f>SUM(U11,'Inkomsten &amp; uitgaven'!I36,'Investeringen &amp; financiering'!N19)</f>
        <v>8470199.9798137285</v>
      </c>
      <c r="M11" s="14">
        <f>SUM(-'Inkomsten &amp; uitgaven'!K36,-T11,-'Investeringen &amp; financiering'!D18,'Inkomsten &amp; uitgaven'!J36)</f>
        <v>9301168.4999785312</v>
      </c>
      <c r="N11" s="24">
        <f>SUM('Investeringen &amp; financiering'!D18,'Investeringen &amp; financiering'!D19)</f>
        <v>0</v>
      </c>
      <c r="O11" s="115">
        <f>-SUM('Investeringen &amp; financiering'!C18,'Investeringen &amp; financiering'!E18,'Investeringen &amp; financiering'!F18,'Investeringen &amp; financiering'!G18)*SUM(1,-G21)</f>
        <v>2169872.9081644355</v>
      </c>
      <c r="P11" s="116">
        <f>'Inkomsten &amp; uitgaven'!N36</f>
        <v>3.8612084037706191</v>
      </c>
      <c r="Q11" s="116">
        <f>'Investeringen &amp; financiering'!T18</f>
        <v>-3000845.3253447139</v>
      </c>
      <c r="R11" s="116">
        <f>'Investeringen &amp; financiering'!R66</f>
        <v>3.5807073419860835E-2</v>
      </c>
      <c r="S11" s="116">
        <f>SUM(S10,-'Investeringen &amp; financiering'!C66,-'Investeringen &amp; financiering'!D66,-'Investeringen &amp; financiering'!N66)</f>
        <v>1.8000000000000003</v>
      </c>
      <c r="T11" s="24">
        <f>SUM('Investeringen &amp; financiering'!S18,'Investeringen &amp; financiering'!S66,'Inkomsten &amp; uitgaven'!M36)</f>
        <v>-830971.82842073299</v>
      </c>
      <c r="U11" s="136">
        <f>'Investeringen &amp; financiering'!T66</f>
        <v>0.12011999999999995</v>
      </c>
      <c r="V11" s="25">
        <f t="shared" si="3"/>
        <v>-26389257.200129639</v>
      </c>
      <c r="W11" s="135">
        <f>SUM(W10,W10*C9)</f>
        <v>21576.562035776158</v>
      </c>
      <c r="X11" s="137">
        <f t="shared" si="2"/>
        <v>-1223.0519095847401</v>
      </c>
      <c r="Y11" s="203">
        <f t="shared" si="0"/>
        <v>-26389255.400129639</v>
      </c>
    </row>
    <row r="12" spans="1:26" x14ac:dyDescent="0.2">
      <c r="A12" s="54">
        <v>9</v>
      </c>
      <c r="B12" s="54" t="s">
        <v>170</v>
      </c>
      <c r="C12" s="228">
        <v>1E-3</v>
      </c>
      <c r="D12" s="20"/>
      <c r="E12" s="54">
        <v>10</v>
      </c>
      <c r="F12" s="54" t="s">
        <v>737</v>
      </c>
      <c r="G12" s="59">
        <f>IF($G$2="Slechtweer",1%,$Z$12)</f>
        <v>0.01</v>
      </c>
      <c r="H12" s="56"/>
      <c r="I12" s="58">
        <v>0.01</v>
      </c>
      <c r="J12" s="110">
        <f>SUM(C1,7)</f>
        <v>2022</v>
      </c>
      <c r="K12" s="114">
        <f t="shared" si="1"/>
        <v>3.4856069689580309</v>
      </c>
      <c r="L12" s="14">
        <f>SUM(U12,'Inkomsten &amp; uitgaven'!I37,'Investeringen &amp; financiering'!N21)</f>
        <v>8470199.9750729464</v>
      </c>
      <c r="M12" s="14">
        <f>SUM(-'Inkomsten &amp; uitgaven'!K37,-T12,-'Investeringen &amp; financiering'!D20,'Inkomsten &amp; uitgaven'!J37)</f>
        <v>9421469.8816227522</v>
      </c>
      <c r="N12" s="24">
        <f>SUM('Investeringen &amp; financiering'!D20,'Investeringen &amp; financiering'!D21)</f>
        <v>0</v>
      </c>
      <c r="O12" s="115">
        <f>-SUM('Investeringen &amp; financiering'!C20,'Investeringen &amp; financiering'!E20,'Investeringen &amp; financiering'!F20,'Investeringen &amp; financiering'!G20)*SUM(1,-G21)</f>
        <v>2183260.9549029525</v>
      </c>
      <c r="P12" s="116">
        <f>'Inkomsten &amp; uitgaven'!N37</f>
        <v>4.0474534535176732</v>
      </c>
      <c r="Q12" s="116">
        <f>'Investeringen &amp; financiering'!T20</f>
        <v>-3134534.946031793</v>
      </c>
      <c r="R12" s="116">
        <f>'Investeringen &amp; financiering'!R68</f>
        <v>3.7125578578877494E-2</v>
      </c>
      <c r="S12" s="116">
        <f>SUM(S11,-'Investeringen &amp; financiering'!C68,-'Investeringen &amp; financiering'!D68,-'Investeringen &amp; financiering'!N68)</f>
        <v>1.8000000000000003</v>
      </c>
      <c r="T12" s="24">
        <f>SUM('Investeringen &amp; financiering'!S20,'Investeringen &amp; financiering'!S68,'Inkomsten &amp; uitgaven'!M37)</f>
        <v>-951273.24308298563</v>
      </c>
      <c r="U12" s="136">
        <f>'Investeringen &amp; financiering'!T68</f>
        <v>0.11722399999999995</v>
      </c>
      <c r="V12" s="25">
        <f t="shared" si="3"/>
        <v>-29523788.061582401</v>
      </c>
      <c r="W12" s="135">
        <f>SUM(W11,W11*C9)</f>
        <v>21493.923054668994</v>
      </c>
      <c r="X12" s="137">
        <f t="shared" si="2"/>
        <v>-1373.5876036445161</v>
      </c>
      <c r="Y12" s="203">
        <f t="shared" si="0"/>
        <v>-29523786.261582401</v>
      </c>
      <c r="Z12" s="16">
        <f>IF(G2="Handmatig",I12,0%)</f>
        <v>0</v>
      </c>
    </row>
    <row r="13" spans="1:26" x14ac:dyDescent="0.2">
      <c r="A13" s="54">
        <v>10</v>
      </c>
      <c r="B13" s="54" t="s">
        <v>171</v>
      </c>
      <c r="C13" s="228">
        <v>4.4999999999999997E-3</v>
      </c>
      <c r="D13" s="20"/>
      <c r="E13" s="54">
        <v>11</v>
      </c>
      <c r="F13" s="54" t="s">
        <v>696</v>
      </c>
      <c r="G13" s="59">
        <f>IF($G$2="Slechtweer",2%,$Z$13)</f>
        <v>0.02</v>
      </c>
      <c r="H13" s="56"/>
      <c r="I13" s="58">
        <v>0.02</v>
      </c>
      <c r="J13" s="110">
        <f>SUM(C1,8)</f>
        <v>2023</v>
      </c>
      <c r="K13" s="114">
        <f t="shared" si="1"/>
        <v>3.8720975075081454</v>
      </c>
      <c r="L13" s="14">
        <f>SUM(U13,'Inkomsten &amp; uitgaven'!I38,'Investeringen &amp; financiering'!N23)</f>
        <v>8470199.9693559092</v>
      </c>
      <c r="M13" s="14">
        <f>SUM(-'Inkomsten &amp; uitgaven'!K38,-T13,-'Investeringen &amp; financiering'!D22,'Inkomsten &amp; uitgaven'!J38)</f>
        <v>9547120.4917866886</v>
      </c>
      <c r="N13" s="24">
        <f>SUM('Investeringen &amp; financiering'!D22,'Investeringen &amp; financiering'!D23)</f>
        <v>0</v>
      </c>
      <c r="O13" s="115">
        <f>-SUM('Investeringen &amp; financiering'!C22,'Investeringen &amp; financiering'!E22,'Investeringen &amp; financiering'!F22,'Investeringen &amp; financiering'!G22)*SUM(1,-G21)</f>
        <v>2196731.6054254035</v>
      </c>
      <c r="P13" s="116">
        <f>'Inkomsten &amp; uitgaven'!N38</f>
        <v>4.2414576529491717</v>
      </c>
      <c r="Q13" s="116">
        <f>'Investeringen &amp; financiering'!T22</f>
        <v>-3273656.4074059622</v>
      </c>
      <c r="R13" s="116">
        <f>'Investeringen &amp; financiering'!R70</f>
        <v>3.8092125531556401E-2</v>
      </c>
      <c r="S13" s="116">
        <f>SUM(S12,-'Investeringen &amp; financiering'!C70,-'Investeringen &amp; financiering'!D70,-'Investeringen &amp; financiering'!N70)</f>
        <v>1.8000000000000003</v>
      </c>
      <c r="T13" s="24">
        <f>SUM('Investeringen &amp; financiering'!S22,'Investeringen &amp; financiering'!S70,'Inkomsten &amp; uitgaven'!M38)</f>
        <v>-1076923.8865924908</v>
      </c>
      <c r="U13" s="136">
        <f>'Investeringen &amp; financiering'!T70</f>
        <v>0.11337599999999994</v>
      </c>
      <c r="V13" s="25">
        <f t="shared" si="3"/>
        <v>-32797440.189438585</v>
      </c>
      <c r="W13" s="135">
        <f>SUM(W12,W12*C9)</f>
        <v>21411.600583726289</v>
      </c>
      <c r="X13" s="137">
        <f t="shared" si="2"/>
        <v>-1531.7602372223405</v>
      </c>
      <c r="Y13" s="203">
        <f t="shared" si="0"/>
        <v>-32797438.389438584</v>
      </c>
      <c r="Z13" s="16">
        <f>IF(G2="Handmatig",I13,0%)</f>
        <v>0</v>
      </c>
    </row>
    <row r="14" spans="1:26" x14ac:dyDescent="0.2">
      <c r="A14" s="54">
        <v>11</v>
      </c>
      <c r="B14" s="54" t="s">
        <v>761</v>
      </c>
      <c r="C14" s="62">
        <v>0.01</v>
      </c>
      <c r="D14" s="20"/>
      <c r="E14" s="54">
        <v>12</v>
      </c>
      <c r="F14" s="54" t="s">
        <v>697</v>
      </c>
      <c r="G14" s="59">
        <f>IF($G$2="Slechtweer",3%,$Z$14)</f>
        <v>0.03</v>
      </c>
      <c r="H14" s="56"/>
      <c r="I14" s="58">
        <v>0.02</v>
      </c>
      <c r="J14" s="110">
        <f>SUM(C1,9)</f>
        <v>2024</v>
      </c>
      <c r="K14" s="114">
        <f t="shared" si="1"/>
        <v>4.2756798381257193</v>
      </c>
      <c r="L14" s="14">
        <f>SUM(U14,'Inkomsten &amp; uitgaven'!I39,'Investeringen &amp; financiering'!N25)</f>
        <v>8470199.9637262952</v>
      </c>
      <c r="M14" s="14">
        <f>SUM(-'Inkomsten &amp; uitgaven'!K39,-T14,-'Investeringen &amp; financiering'!D24,'Inkomsten &amp; uitgaven'!J39)</f>
        <v>9678337.6146911588</v>
      </c>
      <c r="N14" s="24">
        <f>SUM('Investeringen &amp; financiering'!D24,'Investeringen &amp; financiering'!D25)</f>
        <v>0</v>
      </c>
      <c r="O14" s="115">
        <f>-SUM('Investeringen &amp; financiering'!C24,'Investeringen &amp; financiering'!E24,'Investeringen &amp; financiering'!F24,'Investeringen &amp; financiering'!G24)*SUM(1,-G21)</f>
        <v>2210285.3693942688</v>
      </c>
      <c r="P14" s="116">
        <f>'Inkomsten &amp; uitgaven'!N39</f>
        <v>4.4435343569004884</v>
      </c>
      <c r="Q14" s="116">
        <f>'Investeringen &amp; financiering'!T24</f>
        <v>-3418427.5029504439</v>
      </c>
      <c r="R14" s="116">
        <f>'Investeringen &amp; financiering'!R72</f>
        <v>3.9056953409961515E-2</v>
      </c>
      <c r="S14" s="116">
        <f>SUM(S13,-'Investeringen &amp; financiering'!C72,-'Investeringen &amp; financiering'!D72,-'Investeringen &amp; financiering'!N72)</f>
        <v>1.8000000000000003</v>
      </c>
      <c r="T14" s="24">
        <f>SUM('Investeringen &amp; financiering'!S24,'Investeringen &amp; financiering'!S72,'Inkomsten &amp; uitgaven'!M39)</f>
        <v>-1208141.0431733178</v>
      </c>
      <c r="U14" s="136">
        <f>'Investeringen &amp; financiering'!T72</f>
        <v>0.10963999999999995</v>
      </c>
      <c r="V14" s="25">
        <f t="shared" si="3"/>
        <v>-36215863.209797718</v>
      </c>
      <c r="W14" s="135">
        <f>SUM(W13,W13*C9)</f>
        <v>21329.593410703135</v>
      </c>
      <c r="X14" s="137">
        <f t="shared" si="2"/>
        <v>-1697.9161633538074</v>
      </c>
      <c r="Y14" s="203">
        <f t="shared" si="0"/>
        <v>-36215861.409797721</v>
      </c>
      <c r="Z14" s="16">
        <f>IF(G2="Handmatig",I14,0%)</f>
        <v>0</v>
      </c>
    </row>
    <row r="15" spans="1:26" x14ac:dyDescent="0.2">
      <c r="A15" s="54">
        <v>12</v>
      </c>
      <c r="B15" s="54" t="s">
        <v>150</v>
      </c>
      <c r="C15" s="62">
        <v>2.3599999999999999E-2</v>
      </c>
      <c r="D15" s="27"/>
      <c r="E15" s="54">
        <v>13</v>
      </c>
      <c r="F15" s="54" t="s">
        <v>640</v>
      </c>
      <c r="G15" s="236">
        <f>VLOOKUP($C$2,'Data macrogegevens'!$A$1:$O$395,12,0)</f>
        <v>1084384.8999999999</v>
      </c>
      <c r="H15" s="56"/>
      <c r="I15" s="59"/>
      <c r="J15" s="3"/>
      <c r="K15" s="3"/>
      <c r="M15" s="3"/>
      <c r="N15" s="3"/>
      <c r="O15" s="3"/>
      <c r="U15" s="30"/>
      <c r="X15" s="3"/>
    </row>
    <row r="16" spans="1:26" x14ac:dyDescent="0.2">
      <c r="A16" s="54">
        <v>13</v>
      </c>
      <c r="B16" s="54" t="s">
        <v>198</v>
      </c>
      <c r="C16" s="62">
        <f>VLOOKUP($C$2,'Data macrogegevens'!$A$1:$D$395,4,0)</f>
        <v>3.4090909090909088E-2</v>
      </c>
      <c r="D16" s="20"/>
      <c r="E16" s="54">
        <v>14</v>
      </c>
      <c r="F16" s="54" t="s">
        <v>65</v>
      </c>
      <c r="G16" s="60">
        <f>SUM('Inkomsten &amp; uitgaven'!G63,C18,-'Inkomsten &amp; uitgaven'!C10,-'Inkomsten &amp; uitgaven'!C11,-'Inkomsten &amp; uitgaven'!C12,-'Inkomsten &amp; uitgaven'!C35,-'Inkomsten &amp; uitgaven'!C43,-'Inkomsten &amp; uitgaven'!C44,-'Inkomsten &amp; uitgaven'!C45,-'Inkomsten &amp; uitgaven'!C47,-'Inkomsten &amp; uitgaven'!C54,-'Inkomsten &amp; uitgaven'!C55)</f>
        <v>-8365610.1502907248</v>
      </c>
      <c r="H16" s="56"/>
      <c r="I16" s="59"/>
      <c r="J16" s="1"/>
    </row>
    <row r="17" spans="1:26" x14ac:dyDescent="0.2">
      <c r="A17" s="54">
        <v>14</v>
      </c>
      <c r="B17" s="54" t="s">
        <v>700</v>
      </c>
      <c r="C17" s="98">
        <f>VLOOKUP($C$2,'Data macrogegevens'!$A$1:$F$395,6,0)</f>
        <v>22164</v>
      </c>
      <c r="E17" s="54">
        <v>15</v>
      </c>
      <c r="F17" s="54" t="s">
        <v>698</v>
      </c>
      <c r="G17" s="120">
        <v>0</v>
      </c>
      <c r="H17" s="57">
        <f>G17*SUM(G15,G16)</f>
        <v>0</v>
      </c>
      <c r="I17" s="198"/>
      <c r="J17" s="1"/>
      <c r="K17" s="2"/>
      <c r="L17" s="1"/>
      <c r="V17" s="2"/>
      <c r="W17" s="45"/>
      <c r="X17" s="2"/>
      <c r="Y17" s="53"/>
    </row>
    <row r="18" spans="1:26" x14ac:dyDescent="0.2">
      <c r="A18" s="16">
        <v>15</v>
      </c>
      <c r="B18" s="16" t="s">
        <v>820</v>
      </c>
      <c r="C18" s="237">
        <v>0</v>
      </c>
      <c r="E18" s="54">
        <v>16</v>
      </c>
      <c r="F18" s="54" t="s">
        <v>814</v>
      </c>
      <c r="G18" s="119">
        <v>1</v>
      </c>
      <c r="H18" s="57">
        <f>H17*G18*5</f>
        <v>0</v>
      </c>
      <c r="I18" s="198"/>
      <c r="K18" s="7"/>
      <c r="L18" s="5"/>
      <c r="V18" s="24"/>
      <c r="W18" s="33"/>
      <c r="X18" s="24"/>
      <c r="Y18" s="18"/>
    </row>
    <row r="19" spans="1:26" x14ac:dyDescent="0.2">
      <c r="E19" s="54">
        <v>17</v>
      </c>
      <c r="F19" s="54" t="s">
        <v>699</v>
      </c>
      <c r="G19" s="201">
        <f>IF($G$2="Slechtweer",I19,$Z$19)</f>
        <v>0</v>
      </c>
      <c r="H19" s="206"/>
      <c r="I19" s="250">
        <v>0</v>
      </c>
      <c r="K19" s="7"/>
      <c r="L19" s="4"/>
      <c r="V19" s="24"/>
      <c r="W19" s="33"/>
      <c r="X19" s="24"/>
      <c r="Y19" s="18"/>
      <c r="Z19" s="202">
        <f>IF($G$2="Handmatig",I19,0%)</f>
        <v>0</v>
      </c>
    </row>
    <row r="20" spans="1:26" x14ac:dyDescent="0.2">
      <c r="A20" s="26" t="s">
        <v>93</v>
      </c>
      <c r="B20" s="16" t="s">
        <v>830</v>
      </c>
      <c r="E20" s="54"/>
      <c r="F20" s="54"/>
      <c r="G20" s="207"/>
      <c r="H20" s="182"/>
      <c r="I20" s="182"/>
      <c r="K20" s="7"/>
      <c r="L20" s="4"/>
      <c r="V20" s="24"/>
      <c r="W20" s="33"/>
      <c r="X20" s="24"/>
      <c r="Y20" s="18"/>
    </row>
    <row r="21" spans="1:26" x14ac:dyDescent="0.2">
      <c r="E21" s="54"/>
      <c r="F21" s="54"/>
      <c r="G21" s="208"/>
      <c r="H21" s="182"/>
      <c r="I21" s="209"/>
      <c r="K21" s="7"/>
      <c r="L21" s="4"/>
      <c r="V21" s="24"/>
      <c r="W21" s="33"/>
      <c r="X21" s="24"/>
      <c r="Y21" s="18"/>
      <c r="Z21" s="202"/>
    </row>
    <row r="22" spans="1:26" x14ac:dyDescent="0.2">
      <c r="E22" s="54"/>
      <c r="F22" s="54"/>
      <c r="G22" s="183"/>
      <c r="H22" s="182"/>
      <c r="K22" s="7"/>
      <c r="L22" s="4"/>
      <c r="V22" s="24"/>
      <c r="W22" s="33"/>
      <c r="X22" s="24"/>
      <c r="Y22" s="18"/>
    </row>
    <row r="23" spans="1:26" x14ac:dyDescent="0.2">
      <c r="E23" s="54"/>
      <c r="K23" s="7"/>
      <c r="L23" s="4"/>
      <c r="M23" s="2"/>
      <c r="N23" s="2"/>
      <c r="O23" s="2"/>
      <c r="S23" s="2"/>
      <c r="T23" s="2"/>
      <c r="U23" s="2"/>
      <c r="V23" s="24"/>
      <c r="W23" s="33"/>
      <c r="X23" s="24"/>
      <c r="Y23" s="18"/>
    </row>
    <row r="24" spans="1:26" x14ac:dyDescent="0.2">
      <c r="E24" s="54"/>
      <c r="K24" s="7"/>
      <c r="L24" s="4"/>
      <c r="M24" s="149" t="s">
        <v>26</v>
      </c>
      <c r="N24" s="150"/>
      <c r="O24" s="150"/>
      <c r="P24" s="151"/>
      <c r="Q24" s="151"/>
      <c r="R24" s="151"/>
      <c r="S24" s="152"/>
      <c r="T24" s="153">
        <f>SUM(C1,-1)</f>
        <v>2014</v>
      </c>
      <c r="U24" s="154">
        <f>C1</f>
        <v>2015</v>
      </c>
      <c r="V24" s="24"/>
      <c r="W24" s="33"/>
      <c r="X24" s="24"/>
      <c r="Y24" s="18"/>
    </row>
    <row r="25" spans="1:26" x14ac:dyDescent="0.2">
      <c r="K25" s="7"/>
      <c r="L25" s="121"/>
      <c r="M25" s="139" t="s">
        <v>144</v>
      </c>
      <c r="N25" s="140"/>
      <c r="O25" s="141"/>
      <c r="P25" s="142"/>
      <c r="Q25" s="142"/>
      <c r="R25" s="142"/>
      <c r="S25" s="142"/>
      <c r="T25" s="143">
        <f>Balansprognose!F38</f>
        <v>0.61538461538461542</v>
      </c>
      <c r="U25" s="144">
        <f>Balansprognose!G38</f>
        <v>0.61536669008547007</v>
      </c>
      <c r="V25" s="24"/>
      <c r="W25" s="33"/>
      <c r="X25" s="24"/>
      <c r="Y25" s="18"/>
    </row>
    <row r="26" spans="1:26" x14ac:dyDescent="0.2">
      <c r="K26" s="7"/>
      <c r="L26" s="4"/>
      <c r="M26" s="139" t="s">
        <v>785</v>
      </c>
      <c r="N26" s="140"/>
      <c r="O26" s="141"/>
      <c r="P26" s="142"/>
      <c r="Q26" s="142"/>
      <c r="R26" s="142"/>
      <c r="S26" s="142"/>
      <c r="T26" s="226">
        <f>Balansprognose!F40</f>
        <v>1</v>
      </c>
      <c r="U26" s="227">
        <f>Balansprognose!G40</f>
        <v>1</v>
      </c>
      <c r="V26" s="24"/>
      <c r="W26" s="33"/>
      <c r="X26" s="24"/>
      <c r="Y26" s="18"/>
    </row>
    <row r="27" spans="1:26" x14ac:dyDescent="0.2">
      <c r="B27" s="18"/>
      <c r="F27" s="5"/>
      <c r="G27" s="5"/>
      <c r="H27" s="5"/>
      <c r="K27" s="7"/>
      <c r="L27" s="4"/>
      <c r="M27" s="139" t="s">
        <v>80</v>
      </c>
      <c r="N27" s="140"/>
      <c r="O27" s="140"/>
      <c r="P27" s="142"/>
      <c r="Q27" s="142"/>
      <c r="R27" s="142"/>
      <c r="S27" s="142"/>
      <c r="T27" s="143">
        <f>Balansprognose!F41</f>
        <v>1</v>
      </c>
      <c r="U27" s="144">
        <f>Balansprognose!G41</f>
        <v>1.0002330288888892</v>
      </c>
      <c r="V27" s="24"/>
      <c r="W27" s="33"/>
      <c r="X27" s="24"/>
      <c r="Y27" s="18"/>
    </row>
    <row r="28" spans="1:26" x14ac:dyDescent="0.2">
      <c r="B28" s="18"/>
      <c r="F28" s="5"/>
      <c r="G28" s="5"/>
      <c r="H28" s="5"/>
      <c r="K28" s="7"/>
      <c r="L28" s="4"/>
      <c r="M28" s="139" t="s">
        <v>142</v>
      </c>
      <c r="N28" s="140"/>
      <c r="O28" s="140"/>
      <c r="P28" s="142"/>
      <c r="Q28" s="142"/>
      <c r="R28" s="142"/>
      <c r="S28" s="142"/>
      <c r="T28" s="143">
        <f>Balansprognose!F42</f>
        <v>2</v>
      </c>
      <c r="U28" s="144">
        <f>Balansprognose!G42</f>
        <v>2</v>
      </c>
      <c r="V28" s="24"/>
      <c r="W28" s="33"/>
      <c r="X28" s="24"/>
      <c r="Y28" s="18"/>
    </row>
    <row r="29" spans="1:26" x14ac:dyDescent="0.2">
      <c r="B29" s="18"/>
      <c r="D29" s="5"/>
      <c r="E29" s="5"/>
      <c r="F29" s="5"/>
      <c r="G29" s="5"/>
      <c r="H29" s="5"/>
      <c r="I29" s="5"/>
      <c r="L29" s="5"/>
      <c r="M29" s="139" t="s">
        <v>644</v>
      </c>
      <c r="N29" s="140"/>
      <c r="O29" s="140"/>
      <c r="P29" s="142"/>
      <c r="Q29" s="142"/>
      <c r="R29" s="142"/>
      <c r="S29" s="142"/>
      <c r="T29" s="143">
        <f>SUM(T27,-T28)</f>
        <v>-1</v>
      </c>
      <c r="U29" s="143">
        <f>SUM(U27,-U28)</f>
        <v>-0.99976697111111079</v>
      </c>
    </row>
    <row r="30" spans="1:26" x14ac:dyDescent="0.2">
      <c r="B30" s="18"/>
      <c r="D30" s="5"/>
      <c r="E30" s="5"/>
      <c r="F30" s="5"/>
      <c r="G30" s="5"/>
      <c r="H30" s="5"/>
      <c r="I30" s="5"/>
      <c r="L30" s="5"/>
      <c r="M30" s="139" t="s">
        <v>143</v>
      </c>
      <c r="N30" s="140"/>
      <c r="O30" s="140"/>
      <c r="P30" s="142"/>
      <c r="Q30" s="142"/>
      <c r="R30" s="142"/>
      <c r="S30" s="142"/>
      <c r="T30" s="143">
        <f>Balansprognose!F43</f>
        <v>3</v>
      </c>
      <c r="U30" s="144">
        <f>Balansprognose!G43</f>
        <v>3</v>
      </c>
      <c r="V30" s="2"/>
    </row>
    <row r="31" spans="1:26" x14ac:dyDescent="0.2">
      <c r="A31" s="5"/>
      <c r="B31" s="9"/>
      <c r="C31" s="5"/>
      <c r="D31" s="5"/>
      <c r="E31" s="5"/>
      <c r="F31" s="5"/>
      <c r="G31" s="5"/>
      <c r="H31" s="5"/>
      <c r="I31" s="5"/>
      <c r="L31" s="5"/>
      <c r="M31" s="139" t="s">
        <v>701</v>
      </c>
      <c r="N31" s="140"/>
      <c r="O31" s="140"/>
      <c r="P31" s="142"/>
      <c r="Q31" s="142"/>
      <c r="R31" s="142"/>
      <c r="S31" s="142"/>
      <c r="T31" s="159">
        <f>VLOOKUP($C$2,'Data macrogegevens'!$A$1:$AN$395,18,0)</f>
        <v>2790.8365625712331</v>
      </c>
      <c r="U31" s="190">
        <f>SUM(T31,-X5,X4)</f>
        <v>2790.8365624083185</v>
      </c>
      <c r="V31" s="24"/>
    </row>
    <row r="32" spans="1:26" x14ac:dyDescent="0.2">
      <c r="A32" s="5"/>
      <c r="B32" s="9"/>
      <c r="C32" s="5"/>
      <c r="D32" s="5"/>
      <c r="E32" s="5"/>
      <c r="F32" s="5"/>
      <c r="G32" s="5"/>
      <c r="H32" s="5"/>
      <c r="I32" s="5"/>
      <c r="L32" s="5"/>
      <c r="M32" s="139" t="s">
        <v>819</v>
      </c>
      <c r="N32" s="140"/>
      <c r="O32" s="140"/>
      <c r="P32" s="142"/>
      <c r="Q32" s="142"/>
      <c r="R32" s="142"/>
      <c r="S32" s="142"/>
      <c r="T32" s="143">
        <f>SUM(Balansprognose!F35,-Balansprognose!F36)/Balansprognose!F35</f>
        <v>0</v>
      </c>
      <c r="U32" s="144">
        <f>SUM(L5,-M5,-Balansprognose!C35,-Balansprognose!C36,-Balansprognose!C37)/L5</f>
        <v>-2.3302888888876439E-4</v>
      </c>
      <c r="V32" s="24"/>
    </row>
    <row r="33" spans="1:22" x14ac:dyDescent="0.2">
      <c r="A33" s="5"/>
      <c r="B33" s="9"/>
      <c r="C33" s="5"/>
      <c r="D33" s="5"/>
      <c r="E33" s="5"/>
      <c r="F33" s="5"/>
      <c r="G33" s="5"/>
      <c r="H33" s="5"/>
      <c r="I33" s="5"/>
      <c r="L33" s="5"/>
      <c r="M33" s="139" t="s">
        <v>647</v>
      </c>
      <c r="N33" s="140"/>
      <c r="O33" s="140"/>
      <c r="P33" s="142"/>
      <c r="Q33" s="142"/>
      <c r="R33" s="142"/>
      <c r="S33" s="142"/>
      <c r="T33" s="145"/>
      <c r="U33" s="144">
        <f>SUM(L5,-M5)/L5</f>
        <v>2.9997669711111112</v>
      </c>
      <c r="V33" s="24"/>
    </row>
    <row r="34" spans="1:22" x14ac:dyDescent="0.2">
      <c r="A34" s="5"/>
      <c r="B34" s="9"/>
      <c r="C34" s="5"/>
      <c r="D34" s="5"/>
      <c r="E34" s="5"/>
      <c r="F34" s="5"/>
      <c r="G34" s="5"/>
      <c r="H34" s="5"/>
      <c r="I34" s="5"/>
      <c r="L34" s="5"/>
      <c r="M34" s="139" t="s">
        <v>829</v>
      </c>
      <c r="N34" s="140"/>
      <c r="O34" s="140"/>
      <c r="P34" s="142"/>
      <c r="Q34" s="142"/>
      <c r="R34" s="142"/>
      <c r="S34" s="142"/>
      <c r="T34" s="145"/>
      <c r="U34" s="144">
        <f>'Investeringen &amp; financiering'!C5*'Investeringen &amp; financiering'!C3/Macrogegevens!L5</f>
        <v>2</v>
      </c>
      <c r="V34" s="24"/>
    </row>
    <row r="35" spans="1:22" x14ac:dyDescent="0.2">
      <c r="A35" s="5"/>
      <c r="B35" s="9"/>
      <c r="C35" s="5"/>
      <c r="D35" s="5"/>
      <c r="E35" s="5"/>
      <c r="F35" s="5"/>
      <c r="G35" s="5"/>
      <c r="H35" s="5"/>
      <c r="I35" s="5"/>
      <c r="L35" s="5"/>
      <c r="M35" s="139" t="s">
        <v>645</v>
      </c>
      <c r="N35" s="140"/>
      <c r="O35" s="140"/>
      <c r="P35" s="142"/>
      <c r="Q35" s="142"/>
      <c r="R35" s="142"/>
      <c r="S35" s="142"/>
      <c r="T35" s="145"/>
      <c r="U35" s="144">
        <f>SUM(G15,G16)/SUM(M5,Balansprognose!C35,Balansprognose!C36,Balansprognose!C37)</f>
        <v>-7279528.9097572509</v>
      </c>
      <c r="V35" s="24"/>
    </row>
    <row r="36" spans="1:22" x14ac:dyDescent="0.2">
      <c r="A36" s="5"/>
      <c r="B36" s="9"/>
      <c r="C36" s="5"/>
      <c r="D36" s="5"/>
      <c r="E36" s="5"/>
      <c r="F36" s="5"/>
      <c r="G36" s="5"/>
      <c r="H36" s="5"/>
      <c r="I36" s="5"/>
      <c r="L36" s="5"/>
      <c r="M36" s="139" t="s">
        <v>703</v>
      </c>
      <c r="N36" s="146"/>
      <c r="O36" s="146"/>
      <c r="P36" s="147"/>
      <c r="Q36" s="147"/>
      <c r="R36" s="147"/>
      <c r="S36" s="147"/>
      <c r="T36" s="148"/>
      <c r="U36" s="144">
        <f>H18/SUM(M6,O6)</f>
        <v>0</v>
      </c>
      <c r="V36" s="24"/>
    </row>
    <row r="37" spans="1:22" x14ac:dyDescent="0.2">
      <c r="A37" s="5"/>
      <c r="B37" s="5"/>
      <c r="C37" s="5"/>
      <c r="D37" s="5"/>
      <c r="E37" s="5"/>
      <c r="F37" s="5"/>
      <c r="G37" s="5"/>
      <c r="H37" s="5"/>
      <c r="I37" s="5"/>
      <c r="L37" s="5"/>
      <c r="M37" s="139" t="s">
        <v>702</v>
      </c>
      <c r="N37" s="146"/>
      <c r="O37" s="146"/>
      <c r="P37" s="147"/>
      <c r="Q37" s="147"/>
      <c r="R37" s="147"/>
      <c r="S37" s="147"/>
      <c r="T37" s="148"/>
      <c r="U37" s="144">
        <f>H18/SUM(G15,G16)</f>
        <v>0</v>
      </c>
      <c r="V37" s="24"/>
    </row>
    <row r="38" spans="1:22" x14ac:dyDescent="0.2">
      <c r="A38" s="5"/>
      <c r="B38" s="5"/>
      <c r="C38" s="5"/>
      <c r="D38" s="5"/>
      <c r="E38" s="5"/>
      <c r="F38" s="5"/>
      <c r="G38" s="5"/>
      <c r="H38" s="5"/>
      <c r="I38" s="5"/>
      <c r="L38" s="5"/>
      <c r="M38" s="249"/>
      <c r="N38" s="248"/>
      <c r="O38" s="248"/>
      <c r="P38" s="245"/>
      <c r="Q38" s="245"/>
      <c r="R38" s="245"/>
      <c r="S38" s="246"/>
      <c r="T38" s="246"/>
      <c r="U38" s="247"/>
      <c r="V38" s="24"/>
    </row>
    <row r="39" spans="1:22" x14ac:dyDescent="0.2">
      <c r="A39" s="5"/>
      <c r="B39" s="5"/>
      <c r="C39" s="5"/>
      <c r="D39" s="5"/>
      <c r="E39" s="5"/>
      <c r="F39" s="5"/>
      <c r="G39" s="5"/>
      <c r="H39" s="5"/>
      <c r="I39" s="5"/>
      <c r="L39" s="5"/>
      <c r="V39" s="24"/>
    </row>
    <row r="40" spans="1:22" x14ac:dyDescent="0.2">
      <c r="A40" s="5"/>
      <c r="B40" s="5"/>
      <c r="C40" s="5"/>
      <c r="D40" s="5"/>
      <c r="E40" s="5"/>
      <c r="I40" s="5"/>
      <c r="L40" s="5"/>
      <c r="P40" s="104" t="s">
        <v>216</v>
      </c>
      <c r="V40" s="24"/>
    </row>
    <row r="41" spans="1:22" x14ac:dyDescent="0.2">
      <c r="A41" s="5"/>
      <c r="B41" s="5"/>
      <c r="C41" s="5"/>
      <c r="D41" s="5"/>
      <c r="E41" s="5"/>
      <c r="I41" s="5"/>
      <c r="L41" s="5"/>
      <c r="P41" s="104" t="s">
        <v>509</v>
      </c>
    </row>
    <row r="42" spans="1:22" x14ac:dyDescent="0.2">
      <c r="A42" s="5"/>
      <c r="B42" s="5"/>
      <c r="C42" s="5"/>
      <c r="P42" s="104" t="s">
        <v>380</v>
      </c>
    </row>
    <row r="43" spans="1:22" x14ac:dyDescent="0.2">
      <c r="A43" s="5"/>
      <c r="B43" s="5"/>
      <c r="C43" s="5"/>
      <c r="P43" s="104" t="s">
        <v>298</v>
      </c>
    </row>
    <row r="44" spans="1:22" x14ac:dyDescent="0.2">
      <c r="P44" s="104" t="s">
        <v>252</v>
      </c>
    </row>
    <row r="45" spans="1:22" x14ac:dyDescent="0.2">
      <c r="P45" s="104" t="s">
        <v>432</v>
      </c>
    </row>
    <row r="46" spans="1:22" x14ac:dyDescent="0.2">
      <c r="P46" s="104" t="s">
        <v>433</v>
      </c>
    </row>
    <row r="47" spans="1:22" x14ac:dyDescent="0.2">
      <c r="P47" s="104" t="s">
        <v>381</v>
      </c>
    </row>
    <row r="48" spans="1:22" x14ac:dyDescent="0.2">
      <c r="P48" s="104" t="s">
        <v>274</v>
      </c>
    </row>
    <row r="49" spans="16:16" x14ac:dyDescent="0.2">
      <c r="P49" s="104" t="s">
        <v>606</v>
      </c>
    </row>
    <row r="50" spans="16:16" x14ac:dyDescent="0.2">
      <c r="P50" s="104" t="s">
        <v>434</v>
      </c>
    </row>
    <row r="51" spans="16:16" x14ac:dyDescent="0.2">
      <c r="P51" s="104" t="s">
        <v>510</v>
      </c>
    </row>
    <row r="52" spans="16:16" x14ac:dyDescent="0.2">
      <c r="P52" s="104" t="s">
        <v>253</v>
      </c>
    </row>
    <row r="53" spans="16:16" x14ac:dyDescent="0.2">
      <c r="P53" s="104" t="s">
        <v>354</v>
      </c>
    </row>
    <row r="54" spans="16:16" x14ac:dyDescent="0.2">
      <c r="P54" s="104" t="s">
        <v>382</v>
      </c>
    </row>
    <row r="55" spans="16:16" x14ac:dyDescent="0.2">
      <c r="P55" s="104" t="s">
        <v>383</v>
      </c>
    </row>
    <row r="56" spans="16:16" x14ac:dyDescent="0.2">
      <c r="P56" s="104" t="s">
        <v>299</v>
      </c>
    </row>
    <row r="57" spans="16:16" x14ac:dyDescent="0.2">
      <c r="P57" s="104" t="s">
        <v>229</v>
      </c>
    </row>
    <row r="58" spans="16:16" x14ac:dyDescent="0.2">
      <c r="P58" s="104" t="s">
        <v>300</v>
      </c>
    </row>
    <row r="59" spans="16:16" x14ac:dyDescent="0.2">
      <c r="P59" s="104" t="s">
        <v>217</v>
      </c>
    </row>
    <row r="60" spans="16:16" x14ac:dyDescent="0.2">
      <c r="P60" s="104" t="s">
        <v>511</v>
      </c>
    </row>
    <row r="61" spans="16:16" x14ac:dyDescent="0.2">
      <c r="P61" s="104" t="s">
        <v>512</v>
      </c>
    </row>
    <row r="62" spans="16:16" x14ac:dyDescent="0.2">
      <c r="P62" s="104" t="s">
        <v>355</v>
      </c>
    </row>
    <row r="63" spans="16:16" x14ac:dyDescent="0.2">
      <c r="P63" s="104" t="s">
        <v>435</v>
      </c>
    </row>
    <row r="64" spans="16:16" x14ac:dyDescent="0.2">
      <c r="P64" s="104" t="s">
        <v>301</v>
      </c>
    </row>
    <row r="65" spans="16:16" x14ac:dyDescent="0.2">
      <c r="P65" s="104" t="s">
        <v>230</v>
      </c>
    </row>
    <row r="66" spans="16:16" x14ac:dyDescent="0.2">
      <c r="P66" s="107" t="s">
        <v>574</v>
      </c>
    </row>
    <row r="67" spans="16:16" x14ac:dyDescent="0.2">
      <c r="P67" s="104" t="s">
        <v>384</v>
      </c>
    </row>
    <row r="68" spans="16:16" x14ac:dyDescent="0.2">
      <c r="P68" s="104" t="s">
        <v>575</v>
      </c>
    </row>
    <row r="69" spans="16:16" x14ac:dyDescent="0.2">
      <c r="P69" s="104" t="s">
        <v>231</v>
      </c>
    </row>
    <row r="70" spans="16:16" x14ac:dyDescent="0.2">
      <c r="P70" s="104" t="s">
        <v>513</v>
      </c>
    </row>
    <row r="71" spans="16:16" x14ac:dyDescent="0.2">
      <c r="P71" s="104" t="s">
        <v>614</v>
      </c>
    </row>
    <row r="72" spans="16:16" x14ac:dyDescent="0.2">
      <c r="P72" s="104" t="s">
        <v>615</v>
      </c>
    </row>
    <row r="73" spans="16:16" x14ac:dyDescent="0.2">
      <c r="P73" s="104" t="s">
        <v>514</v>
      </c>
    </row>
    <row r="74" spans="16:16" x14ac:dyDescent="0.2">
      <c r="P74" s="104" t="s">
        <v>302</v>
      </c>
    </row>
    <row r="75" spans="16:16" x14ac:dyDescent="0.2">
      <c r="P75" s="104" t="s">
        <v>515</v>
      </c>
    </row>
    <row r="76" spans="16:16" x14ac:dyDescent="0.2">
      <c r="P76" s="104" t="s">
        <v>516</v>
      </c>
    </row>
    <row r="77" spans="16:16" x14ac:dyDescent="0.2">
      <c r="P77" s="104" t="s">
        <v>303</v>
      </c>
    </row>
    <row r="78" spans="16:16" x14ac:dyDescent="0.2">
      <c r="P78" s="104" t="s">
        <v>385</v>
      </c>
    </row>
    <row r="79" spans="16:16" x14ac:dyDescent="0.2">
      <c r="P79" s="104" t="s">
        <v>438</v>
      </c>
    </row>
    <row r="80" spans="16:16" x14ac:dyDescent="0.2">
      <c r="P80" s="104" t="s">
        <v>517</v>
      </c>
    </row>
    <row r="81" spans="16:16" x14ac:dyDescent="0.2">
      <c r="P81" s="104" t="s">
        <v>386</v>
      </c>
    </row>
    <row r="82" spans="16:16" x14ac:dyDescent="0.2">
      <c r="P82" s="104" t="s">
        <v>387</v>
      </c>
    </row>
    <row r="83" spans="16:16" x14ac:dyDescent="0.2">
      <c r="P83" s="104" t="s">
        <v>439</v>
      </c>
    </row>
    <row r="84" spans="16:16" x14ac:dyDescent="0.2">
      <c r="P84" s="104" t="s">
        <v>518</v>
      </c>
    </row>
    <row r="85" spans="16:16" x14ac:dyDescent="0.2">
      <c r="P85" s="104" t="s">
        <v>218</v>
      </c>
    </row>
    <row r="86" spans="16:16" x14ac:dyDescent="0.2">
      <c r="P86" s="104" t="s">
        <v>275</v>
      </c>
    </row>
    <row r="87" spans="16:16" x14ac:dyDescent="0.2">
      <c r="P87" s="104" t="s">
        <v>496</v>
      </c>
    </row>
    <row r="88" spans="16:16" x14ac:dyDescent="0.2">
      <c r="P88" s="104" t="s">
        <v>519</v>
      </c>
    </row>
    <row r="89" spans="16:16" x14ac:dyDescent="0.2">
      <c r="P89" s="104" t="s">
        <v>520</v>
      </c>
    </row>
    <row r="90" spans="16:16" x14ac:dyDescent="0.2">
      <c r="P90" s="104" t="s">
        <v>521</v>
      </c>
    </row>
    <row r="91" spans="16:16" x14ac:dyDescent="0.2">
      <c r="P91" s="104" t="s">
        <v>440</v>
      </c>
    </row>
    <row r="92" spans="16:16" x14ac:dyDescent="0.2">
      <c r="P92" s="104" t="s">
        <v>304</v>
      </c>
    </row>
    <row r="93" spans="16:16" x14ac:dyDescent="0.2">
      <c r="P93" s="104" t="s">
        <v>305</v>
      </c>
    </row>
    <row r="94" spans="16:16" x14ac:dyDescent="0.2">
      <c r="P94" s="104" t="s">
        <v>576</v>
      </c>
    </row>
    <row r="95" spans="16:16" x14ac:dyDescent="0.2">
      <c r="P95" s="104" t="s">
        <v>356</v>
      </c>
    </row>
    <row r="96" spans="16:16" x14ac:dyDescent="0.2">
      <c r="P96" s="104" t="s">
        <v>357</v>
      </c>
    </row>
    <row r="97" spans="1:16" x14ac:dyDescent="0.2">
      <c r="P97" s="104" t="s">
        <v>306</v>
      </c>
    </row>
    <row r="98" spans="1:16" x14ac:dyDescent="0.2">
      <c r="P98" s="104" t="s">
        <v>388</v>
      </c>
    </row>
    <row r="99" spans="1:16" hidden="1" x14ac:dyDescent="0.2">
      <c r="A99" s="16" t="s">
        <v>173</v>
      </c>
      <c r="P99" s="104" t="s">
        <v>441</v>
      </c>
    </row>
    <row r="100" spans="1:16" hidden="1" x14ac:dyDescent="0.2">
      <c r="P100" s="104" t="s">
        <v>389</v>
      </c>
    </row>
    <row r="101" spans="1:16" hidden="1" x14ac:dyDescent="0.2">
      <c r="P101" s="104" t="s">
        <v>219</v>
      </c>
    </row>
    <row r="102" spans="1:16" x14ac:dyDescent="0.2">
      <c r="P102" s="104" t="s">
        <v>522</v>
      </c>
    </row>
    <row r="103" spans="1:16" x14ac:dyDescent="0.2">
      <c r="P103" s="104" t="s">
        <v>442</v>
      </c>
    </row>
    <row r="104" spans="1:16" x14ac:dyDescent="0.2">
      <c r="P104" s="104" t="s">
        <v>523</v>
      </c>
    </row>
    <row r="105" spans="1:16" x14ac:dyDescent="0.2">
      <c r="P105" s="104" t="s">
        <v>307</v>
      </c>
    </row>
    <row r="106" spans="1:16" x14ac:dyDescent="0.2">
      <c r="P106" s="104" t="s">
        <v>276</v>
      </c>
    </row>
    <row r="107" spans="1:16" x14ac:dyDescent="0.2">
      <c r="P107" s="104" t="s">
        <v>254</v>
      </c>
    </row>
    <row r="108" spans="1:16" x14ac:dyDescent="0.2">
      <c r="P108" s="104" t="s">
        <v>358</v>
      </c>
    </row>
    <row r="109" spans="1:16" x14ac:dyDescent="0.2">
      <c r="P109" s="104" t="s">
        <v>255</v>
      </c>
    </row>
    <row r="110" spans="1:16" x14ac:dyDescent="0.2">
      <c r="P110" s="104" t="s">
        <v>232</v>
      </c>
    </row>
    <row r="111" spans="1:16" x14ac:dyDescent="0.2">
      <c r="P111" s="104" t="s">
        <v>359</v>
      </c>
    </row>
    <row r="112" spans="1:16" x14ac:dyDescent="0.2">
      <c r="P112" s="104" t="s">
        <v>227</v>
      </c>
    </row>
    <row r="113" spans="16:16" x14ac:dyDescent="0.2">
      <c r="P113" s="104" t="s">
        <v>443</v>
      </c>
    </row>
    <row r="114" spans="16:16" x14ac:dyDescent="0.2">
      <c r="P114" s="104" t="s">
        <v>233</v>
      </c>
    </row>
    <row r="115" spans="16:16" x14ac:dyDescent="0.2">
      <c r="P115" s="104" t="s">
        <v>390</v>
      </c>
    </row>
    <row r="116" spans="16:16" x14ac:dyDescent="0.2">
      <c r="P116" s="104" t="s">
        <v>524</v>
      </c>
    </row>
    <row r="117" spans="16:16" x14ac:dyDescent="0.2">
      <c r="P117" s="104" t="s">
        <v>277</v>
      </c>
    </row>
    <row r="118" spans="16:16" x14ac:dyDescent="0.2">
      <c r="P118" s="104" t="s">
        <v>391</v>
      </c>
    </row>
    <row r="119" spans="16:16" x14ac:dyDescent="0.2">
      <c r="P119" s="104" t="s">
        <v>278</v>
      </c>
    </row>
    <row r="120" spans="16:16" x14ac:dyDescent="0.2">
      <c r="P120" s="104" t="s">
        <v>308</v>
      </c>
    </row>
    <row r="121" spans="16:16" x14ac:dyDescent="0.2">
      <c r="P121" s="104" t="s">
        <v>309</v>
      </c>
    </row>
    <row r="122" spans="16:16" x14ac:dyDescent="0.2">
      <c r="P122" s="104" t="s">
        <v>525</v>
      </c>
    </row>
    <row r="123" spans="16:16" x14ac:dyDescent="0.2">
      <c r="P123" s="104" t="s">
        <v>256</v>
      </c>
    </row>
    <row r="124" spans="16:16" x14ac:dyDescent="0.2">
      <c r="P124" s="104" t="s">
        <v>444</v>
      </c>
    </row>
    <row r="125" spans="16:16" x14ac:dyDescent="0.2">
      <c r="P125" s="104" t="s">
        <v>392</v>
      </c>
    </row>
    <row r="126" spans="16:16" x14ac:dyDescent="0.2">
      <c r="P126" s="104" t="s">
        <v>526</v>
      </c>
    </row>
    <row r="127" spans="16:16" x14ac:dyDescent="0.2">
      <c r="P127" s="104" t="s">
        <v>607</v>
      </c>
    </row>
    <row r="128" spans="16:16" x14ac:dyDescent="0.2">
      <c r="P128" s="104" t="s">
        <v>310</v>
      </c>
    </row>
    <row r="129" spans="16:16" x14ac:dyDescent="0.2">
      <c r="P129" s="104" t="s">
        <v>311</v>
      </c>
    </row>
    <row r="130" spans="16:16" x14ac:dyDescent="0.2">
      <c r="P130" s="104" t="s">
        <v>577</v>
      </c>
    </row>
    <row r="131" spans="16:16" x14ac:dyDescent="0.2">
      <c r="P131" s="104" t="s">
        <v>393</v>
      </c>
    </row>
    <row r="132" spans="16:16" x14ac:dyDescent="0.2">
      <c r="P132" s="104" t="s">
        <v>312</v>
      </c>
    </row>
    <row r="133" spans="16:16" x14ac:dyDescent="0.2">
      <c r="P133" s="104" t="s">
        <v>360</v>
      </c>
    </row>
    <row r="134" spans="16:16" x14ac:dyDescent="0.2">
      <c r="P134" s="104" t="s">
        <v>234</v>
      </c>
    </row>
    <row r="135" spans="16:16" x14ac:dyDescent="0.2">
      <c r="P135" s="104" t="s">
        <v>527</v>
      </c>
    </row>
    <row r="136" spans="16:16" x14ac:dyDescent="0.2">
      <c r="P136" s="104" t="s">
        <v>578</v>
      </c>
    </row>
    <row r="137" spans="16:16" x14ac:dyDescent="0.2">
      <c r="P137" s="104" t="s">
        <v>528</v>
      </c>
    </row>
    <row r="138" spans="16:16" x14ac:dyDescent="0.2">
      <c r="P138" s="104" t="s">
        <v>313</v>
      </c>
    </row>
    <row r="139" spans="16:16" x14ac:dyDescent="0.2">
      <c r="P139" s="104" t="s">
        <v>220</v>
      </c>
    </row>
    <row r="140" spans="16:16" x14ac:dyDescent="0.2">
      <c r="P140" s="104" t="s">
        <v>394</v>
      </c>
    </row>
    <row r="141" spans="16:16" x14ac:dyDescent="0.2">
      <c r="P141" s="104" t="s">
        <v>279</v>
      </c>
    </row>
    <row r="142" spans="16:16" x14ac:dyDescent="0.2">
      <c r="P142" s="104" t="s">
        <v>314</v>
      </c>
    </row>
    <row r="143" spans="16:16" x14ac:dyDescent="0.2">
      <c r="P143" s="104" t="s">
        <v>315</v>
      </c>
    </row>
    <row r="144" spans="16:16" x14ac:dyDescent="0.2">
      <c r="P144" s="104" t="s">
        <v>529</v>
      </c>
    </row>
    <row r="145" spans="16:16" x14ac:dyDescent="0.2">
      <c r="P145" s="104" t="s">
        <v>257</v>
      </c>
    </row>
    <row r="146" spans="16:16" x14ac:dyDescent="0.2">
      <c r="P146" s="104" t="s">
        <v>258</v>
      </c>
    </row>
    <row r="147" spans="16:16" x14ac:dyDescent="0.2">
      <c r="P147" s="104" t="s">
        <v>530</v>
      </c>
    </row>
    <row r="148" spans="16:16" x14ac:dyDescent="0.2">
      <c r="P148" s="104" t="s">
        <v>316</v>
      </c>
    </row>
    <row r="149" spans="16:16" x14ac:dyDescent="0.2">
      <c r="P149" s="104" t="s">
        <v>531</v>
      </c>
    </row>
    <row r="150" spans="16:16" x14ac:dyDescent="0.2">
      <c r="P150" s="104" t="s">
        <v>532</v>
      </c>
    </row>
    <row r="151" spans="16:16" x14ac:dyDescent="0.2">
      <c r="P151" s="104" t="s">
        <v>579</v>
      </c>
    </row>
    <row r="152" spans="16:16" x14ac:dyDescent="0.2">
      <c r="P152" s="104" t="s">
        <v>445</v>
      </c>
    </row>
    <row r="153" spans="16:16" x14ac:dyDescent="0.2">
      <c r="P153" s="104" t="s">
        <v>533</v>
      </c>
    </row>
    <row r="154" spans="16:16" x14ac:dyDescent="0.2">
      <c r="P154" s="104" t="s">
        <v>446</v>
      </c>
    </row>
    <row r="155" spans="16:16" x14ac:dyDescent="0.2">
      <c r="P155" s="104" t="s">
        <v>497</v>
      </c>
    </row>
    <row r="156" spans="16:16" x14ac:dyDescent="0.2">
      <c r="P156" s="104" t="s">
        <v>534</v>
      </c>
    </row>
    <row r="157" spans="16:16" x14ac:dyDescent="0.2">
      <c r="P157" s="104" t="s">
        <v>447</v>
      </c>
    </row>
    <row r="158" spans="16:16" x14ac:dyDescent="0.2">
      <c r="P158" s="104" t="s">
        <v>448</v>
      </c>
    </row>
    <row r="159" spans="16:16" x14ac:dyDescent="0.2">
      <c r="P159" s="104" t="s">
        <v>535</v>
      </c>
    </row>
    <row r="160" spans="16:16" x14ac:dyDescent="0.2">
      <c r="P160" s="104" t="s">
        <v>317</v>
      </c>
    </row>
    <row r="161" spans="16:16" x14ac:dyDescent="0.2">
      <c r="P161" s="107" t="s">
        <v>235</v>
      </c>
    </row>
    <row r="162" spans="16:16" x14ac:dyDescent="0.2">
      <c r="P162" s="104" t="s">
        <v>236</v>
      </c>
    </row>
    <row r="163" spans="16:16" x14ac:dyDescent="0.2">
      <c r="P163" s="104" t="s">
        <v>580</v>
      </c>
    </row>
    <row r="164" spans="16:16" x14ac:dyDescent="0.2">
      <c r="P164" s="104" t="s">
        <v>280</v>
      </c>
    </row>
    <row r="165" spans="16:16" x14ac:dyDescent="0.2">
      <c r="P165" s="104" t="s">
        <v>536</v>
      </c>
    </row>
    <row r="166" spans="16:16" x14ac:dyDescent="0.2">
      <c r="P166" s="104" t="s">
        <v>396</v>
      </c>
    </row>
    <row r="167" spans="16:16" x14ac:dyDescent="0.2">
      <c r="P167" s="104" t="s">
        <v>616</v>
      </c>
    </row>
    <row r="168" spans="16:16" x14ac:dyDescent="0.2">
      <c r="P168" s="104" t="s">
        <v>398</v>
      </c>
    </row>
    <row r="169" spans="16:16" x14ac:dyDescent="0.2">
      <c r="P169" s="104" t="s">
        <v>537</v>
      </c>
    </row>
    <row r="170" spans="16:16" x14ac:dyDescent="0.2">
      <c r="P170" s="104" t="s">
        <v>281</v>
      </c>
    </row>
    <row r="171" spans="16:16" x14ac:dyDescent="0.2">
      <c r="P171" s="104" t="s">
        <v>318</v>
      </c>
    </row>
    <row r="172" spans="16:16" x14ac:dyDescent="0.2">
      <c r="P172" s="104" t="s">
        <v>449</v>
      </c>
    </row>
    <row r="173" spans="16:16" x14ac:dyDescent="0.2">
      <c r="P173" s="104" t="s">
        <v>237</v>
      </c>
    </row>
    <row r="174" spans="16:16" x14ac:dyDescent="0.2">
      <c r="P174" s="104" t="s">
        <v>259</v>
      </c>
    </row>
    <row r="175" spans="16:16" x14ac:dyDescent="0.2">
      <c r="P175" s="104" t="s">
        <v>319</v>
      </c>
    </row>
    <row r="176" spans="16:16" x14ac:dyDescent="0.2">
      <c r="P176" s="104" t="s">
        <v>399</v>
      </c>
    </row>
    <row r="177" spans="16:16" x14ac:dyDescent="0.2">
      <c r="P177" s="104" t="s">
        <v>400</v>
      </c>
    </row>
    <row r="178" spans="16:16" x14ac:dyDescent="0.2">
      <c r="P178" s="104" t="s">
        <v>320</v>
      </c>
    </row>
    <row r="179" spans="16:16" x14ac:dyDescent="0.2">
      <c r="P179" s="104" t="s">
        <v>260</v>
      </c>
    </row>
    <row r="180" spans="16:16" x14ac:dyDescent="0.2">
      <c r="P180" s="104" t="s">
        <v>401</v>
      </c>
    </row>
    <row r="181" spans="16:16" x14ac:dyDescent="0.2">
      <c r="P181" s="104" t="s">
        <v>581</v>
      </c>
    </row>
    <row r="182" spans="16:16" x14ac:dyDescent="0.2">
      <c r="P182" s="104" t="s">
        <v>538</v>
      </c>
    </row>
    <row r="183" spans="16:16" x14ac:dyDescent="0.2">
      <c r="P183" s="104" t="s">
        <v>402</v>
      </c>
    </row>
    <row r="184" spans="16:16" x14ac:dyDescent="0.2">
      <c r="P184" s="104" t="s">
        <v>282</v>
      </c>
    </row>
    <row r="185" spans="16:16" x14ac:dyDescent="0.2">
      <c r="P185" s="104" t="s">
        <v>450</v>
      </c>
    </row>
    <row r="186" spans="16:16" x14ac:dyDescent="0.2">
      <c r="P186" s="104" t="s">
        <v>539</v>
      </c>
    </row>
    <row r="187" spans="16:16" x14ac:dyDescent="0.2">
      <c r="P187" s="104" t="s">
        <v>451</v>
      </c>
    </row>
    <row r="188" spans="16:16" x14ac:dyDescent="0.2">
      <c r="P188" s="107" t="s">
        <v>630</v>
      </c>
    </row>
    <row r="189" spans="16:16" x14ac:dyDescent="0.2">
      <c r="P189" s="104" t="s">
        <v>617</v>
      </c>
    </row>
    <row r="190" spans="16:16" x14ac:dyDescent="0.2">
      <c r="P190" s="104" t="s">
        <v>321</v>
      </c>
    </row>
    <row r="191" spans="16:16" x14ac:dyDescent="0.2">
      <c r="P191" s="104" t="s">
        <v>540</v>
      </c>
    </row>
    <row r="192" spans="16:16" x14ac:dyDescent="0.2">
      <c r="P192" s="104" t="s">
        <v>452</v>
      </c>
    </row>
    <row r="193" spans="16:16" x14ac:dyDescent="0.2">
      <c r="P193" s="104" t="s">
        <v>541</v>
      </c>
    </row>
    <row r="194" spans="16:16" x14ac:dyDescent="0.2">
      <c r="P194" s="104" t="s">
        <v>403</v>
      </c>
    </row>
    <row r="195" spans="16:16" x14ac:dyDescent="0.2">
      <c r="P195" s="104" t="s">
        <v>283</v>
      </c>
    </row>
    <row r="196" spans="16:16" x14ac:dyDescent="0.2">
      <c r="P196" s="104" t="s">
        <v>404</v>
      </c>
    </row>
    <row r="197" spans="16:16" x14ac:dyDescent="0.2">
      <c r="P197" s="104" t="s">
        <v>221</v>
      </c>
    </row>
    <row r="198" spans="16:16" x14ac:dyDescent="0.2">
      <c r="P198" s="104" t="s">
        <v>238</v>
      </c>
    </row>
    <row r="199" spans="16:16" x14ac:dyDescent="0.2">
      <c r="P199" s="104" t="s">
        <v>405</v>
      </c>
    </row>
    <row r="200" spans="16:16" x14ac:dyDescent="0.2">
      <c r="P200" s="104" t="s">
        <v>582</v>
      </c>
    </row>
    <row r="201" spans="16:16" x14ac:dyDescent="0.2">
      <c r="P201" s="104" t="s">
        <v>361</v>
      </c>
    </row>
    <row r="202" spans="16:16" x14ac:dyDescent="0.2">
      <c r="P202" s="104" t="s">
        <v>406</v>
      </c>
    </row>
    <row r="203" spans="16:16" x14ac:dyDescent="0.2">
      <c r="P203" s="104" t="s">
        <v>498</v>
      </c>
    </row>
    <row r="204" spans="16:16" x14ac:dyDescent="0.2">
      <c r="P204" s="104" t="s">
        <v>362</v>
      </c>
    </row>
    <row r="205" spans="16:16" x14ac:dyDescent="0.2">
      <c r="P205" s="104" t="s">
        <v>453</v>
      </c>
    </row>
    <row r="206" spans="16:16" x14ac:dyDescent="0.2">
      <c r="P206" s="104" t="s">
        <v>284</v>
      </c>
    </row>
    <row r="207" spans="16:16" x14ac:dyDescent="0.2">
      <c r="P207" s="104" t="s">
        <v>499</v>
      </c>
    </row>
    <row r="208" spans="16:16" x14ac:dyDescent="0.2">
      <c r="P208" s="104" t="s">
        <v>454</v>
      </c>
    </row>
    <row r="209" spans="16:16" x14ac:dyDescent="0.2">
      <c r="P209" s="104" t="s">
        <v>583</v>
      </c>
    </row>
    <row r="210" spans="16:16" x14ac:dyDescent="0.2">
      <c r="P210" s="104" t="s">
        <v>407</v>
      </c>
    </row>
    <row r="211" spans="16:16" x14ac:dyDescent="0.2">
      <c r="P211" s="104" t="s">
        <v>612</v>
      </c>
    </row>
    <row r="212" spans="16:16" x14ac:dyDescent="0.2">
      <c r="P212" s="104" t="s">
        <v>455</v>
      </c>
    </row>
    <row r="213" spans="16:16" x14ac:dyDescent="0.2">
      <c r="P213" s="104" t="s">
        <v>456</v>
      </c>
    </row>
    <row r="214" spans="16:16" x14ac:dyDescent="0.2">
      <c r="P214" s="107" t="s">
        <v>742</v>
      </c>
    </row>
    <row r="215" spans="16:16" x14ac:dyDescent="0.2">
      <c r="P215" s="104" t="s">
        <v>542</v>
      </c>
    </row>
    <row r="216" spans="16:16" x14ac:dyDescent="0.2">
      <c r="P216" s="104" t="s">
        <v>543</v>
      </c>
    </row>
    <row r="217" spans="16:16" x14ac:dyDescent="0.2">
      <c r="P217" s="104" t="s">
        <v>584</v>
      </c>
    </row>
    <row r="218" spans="16:16" x14ac:dyDescent="0.2">
      <c r="P218" s="104" t="s">
        <v>408</v>
      </c>
    </row>
    <row r="219" spans="16:16" x14ac:dyDescent="0.2">
      <c r="P219" s="104" t="s">
        <v>409</v>
      </c>
    </row>
    <row r="220" spans="16:16" x14ac:dyDescent="0.2">
      <c r="P220" s="104" t="s">
        <v>457</v>
      </c>
    </row>
    <row r="221" spans="16:16" x14ac:dyDescent="0.2">
      <c r="P221" s="107" t="s">
        <v>410</v>
      </c>
    </row>
    <row r="222" spans="16:16" x14ac:dyDescent="0.2">
      <c r="P222" s="104" t="s">
        <v>239</v>
      </c>
    </row>
    <row r="223" spans="16:16" x14ac:dyDescent="0.2">
      <c r="P223" s="104" t="s">
        <v>458</v>
      </c>
    </row>
    <row r="224" spans="16:16" x14ac:dyDescent="0.2">
      <c r="P224" s="104" t="s">
        <v>262</v>
      </c>
    </row>
    <row r="225" spans="16:16" x14ac:dyDescent="0.2">
      <c r="P225" s="104" t="s">
        <v>263</v>
      </c>
    </row>
    <row r="226" spans="16:16" x14ac:dyDescent="0.2">
      <c r="P226" s="104" t="s">
        <v>459</v>
      </c>
    </row>
    <row r="227" spans="16:16" x14ac:dyDescent="0.2">
      <c r="P227" s="104" t="s">
        <v>460</v>
      </c>
    </row>
    <row r="228" spans="16:16" x14ac:dyDescent="0.2">
      <c r="P228" s="104" t="s">
        <v>461</v>
      </c>
    </row>
    <row r="229" spans="16:16" x14ac:dyDescent="0.2">
      <c r="P229" s="104" t="s">
        <v>608</v>
      </c>
    </row>
    <row r="230" spans="16:16" x14ac:dyDescent="0.2">
      <c r="P230" s="104" t="s">
        <v>585</v>
      </c>
    </row>
    <row r="231" spans="16:16" x14ac:dyDescent="0.2">
      <c r="P231" s="104" t="s">
        <v>363</v>
      </c>
    </row>
    <row r="232" spans="16:16" x14ac:dyDescent="0.2">
      <c r="P232" s="104" t="s">
        <v>322</v>
      </c>
    </row>
    <row r="233" spans="16:16" x14ac:dyDescent="0.2">
      <c r="P233" s="104" t="s">
        <v>323</v>
      </c>
    </row>
    <row r="234" spans="16:16" x14ac:dyDescent="0.2">
      <c r="P234" s="104" t="s">
        <v>462</v>
      </c>
    </row>
    <row r="235" spans="16:16" x14ac:dyDescent="0.2">
      <c r="P235" s="104" t="s">
        <v>264</v>
      </c>
    </row>
    <row r="236" spans="16:16" x14ac:dyDescent="0.2">
      <c r="P236" s="104" t="s">
        <v>324</v>
      </c>
    </row>
    <row r="237" spans="16:16" x14ac:dyDescent="0.2">
      <c r="P237" s="104" t="s">
        <v>544</v>
      </c>
    </row>
    <row r="238" spans="16:16" x14ac:dyDescent="0.2">
      <c r="P238" s="104" t="s">
        <v>364</v>
      </c>
    </row>
    <row r="239" spans="16:16" x14ac:dyDescent="0.2">
      <c r="P239" s="104" t="s">
        <v>240</v>
      </c>
    </row>
    <row r="240" spans="16:16" x14ac:dyDescent="0.2">
      <c r="P240" s="104" t="s">
        <v>285</v>
      </c>
    </row>
    <row r="241" spans="16:16" x14ac:dyDescent="0.2">
      <c r="P241" s="104" t="s">
        <v>325</v>
      </c>
    </row>
    <row r="242" spans="16:16" x14ac:dyDescent="0.2">
      <c r="P242" s="104" t="s">
        <v>586</v>
      </c>
    </row>
    <row r="243" spans="16:16" x14ac:dyDescent="0.2">
      <c r="P243" s="104" t="s">
        <v>463</v>
      </c>
    </row>
    <row r="244" spans="16:16" x14ac:dyDescent="0.2">
      <c r="P244" s="104" t="s">
        <v>587</v>
      </c>
    </row>
    <row r="245" spans="16:16" x14ac:dyDescent="0.2">
      <c r="P245" s="104" t="s">
        <v>241</v>
      </c>
    </row>
    <row r="246" spans="16:16" x14ac:dyDescent="0.2">
      <c r="P246" s="104" t="s">
        <v>411</v>
      </c>
    </row>
    <row r="247" spans="16:16" x14ac:dyDescent="0.2">
      <c r="P247" s="104" t="s">
        <v>588</v>
      </c>
    </row>
    <row r="248" spans="16:16" x14ac:dyDescent="0.2">
      <c r="P248" s="104" t="s">
        <v>265</v>
      </c>
    </row>
    <row r="249" spans="16:16" x14ac:dyDescent="0.2">
      <c r="P249" s="104" t="s">
        <v>242</v>
      </c>
    </row>
    <row r="250" spans="16:16" x14ac:dyDescent="0.2">
      <c r="P250" s="104" t="s">
        <v>222</v>
      </c>
    </row>
    <row r="251" spans="16:16" x14ac:dyDescent="0.2">
      <c r="P251" s="107" t="s">
        <v>500</v>
      </c>
    </row>
    <row r="252" spans="16:16" x14ac:dyDescent="0.2">
      <c r="P252" s="104" t="s">
        <v>464</v>
      </c>
    </row>
    <row r="253" spans="16:16" x14ac:dyDescent="0.2">
      <c r="P253" s="104" t="s">
        <v>223</v>
      </c>
    </row>
    <row r="254" spans="16:16" x14ac:dyDescent="0.2">
      <c r="P254" s="104" t="s">
        <v>546</v>
      </c>
    </row>
    <row r="255" spans="16:16" x14ac:dyDescent="0.2">
      <c r="P255" s="104" t="s">
        <v>547</v>
      </c>
    </row>
    <row r="256" spans="16:16" x14ac:dyDescent="0.2">
      <c r="P256" s="104" t="s">
        <v>465</v>
      </c>
    </row>
    <row r="257" spans="16:16" x14ac:dyDescent="0.2">
      <c r="P257" s="104" t="s">
        <v>327</v>
      </c>
    </row>
    <row r="258" spans="16:16" x14ac:dyDescent="0.2">
      <c r="P258" s="104" t="s">
        <v>618</v>
      </c>
    </row>
    <row r="259" spans="16:16" x14ac:dyDescent="0.2">
      <c r="P259" s="104" t="s">
        <v>589</v>
      </c>
    </row>
    <row r="260" spans="16:16" x14ac:dyDescent="0.2">
      <c r="P260" s="104" t="s">
        <v>412</v>
      </c>
    </row>
    <row r="261" spans="16:16" x14ac:dyDescent="0.2">
      <c r="P261" s="104" t="s">
        <v>413</v>
      </c>
    </row>
    <row r="262" spans="16:16" x14ac:dyDescent="0.2">
      <c r="P262" s="104" t="s">
        <v>328</v>
      </c>
    </row>
    <row r="263" spans="16:16" x14ac:dyDescent="0.2">
      <c r="P263" s="104" t="s">
        <v>590</v>
      </c>
    </row>
    <row r="264" spans="16:16" x14ac:dyDescent="0.2">
      <c r="P264" s="104" t="s">
        <v>329</v>
      </c>
    </row>
    <row r="265" spans="16:16" x14ac:dyDescent="0.2">
      <c r="P265" s="104" t="s">
        <v>366</v>
      </c>
    </row>
    <row r="266" spans="16:16" x14ac:dyDescent="0.2">
      <c r="P266" s="104" t="s">
        <v>467</v>
      </c>
    </row>
    <row r="267" spans="16:16" x14ac:dyDescent="0.2">
      <c r="P267" s="104" t="s">
        <v>330</v>
      </c>
    </row>
    <row r="268" spans="16:16" x14ac:dyDescent="0.2">
      <c r="P268" s="104" t="s">
        <v>331</v>
      </c>
    </row>
    <row r="269" spans="16:16" x14ac:dyDescent="0.2">
      <c r="P269" s="107" t="s">
        <v>743</v>
      </c>
    </row>
    <row r="270" spans="16:16" x14ac:dyDescent="0.2">
      <c r="P270" s="104" t="s">
        <v>501</v>
      </c>
    </row>
    <row r="271" spans="16:16" x14ac:dyDescent="0.2">
      <c r="P271" s="104" t="s">
        <v>224</v>
      </c>
    </row>
    <row r="272" spans="16:16" x14ac:dyDescent="0.2">
      <c r="P272" s="104" t="s">
        <v>609</v>
      </c>
    </row>
    <row r="273" spans="16:16" x14ac:dyDescent="0.2">
      <c r="P273" s="104" t="s">
        <v>468</v>
      </c>
    </row>
    <row r="274" spans="16:16" x14ac:dyDescent="0.2">
      <c r="P274" s="104" t="s">
        <v>469</v>
      </c>
    </row>
    <row r="275" spans="16:16" x14ac:dyDescent="0.2">
      <c r="P275" s="104" t="s">
        <v>613</v>
      </c>
    </row>
    <row r="276" spans="16:16" x14ac:dyDescent="0.2">
      <c r="P276" s="104" t="s">
        <v>332</v>
      </c>
    </row>
    <row r="277" spans="16:16" x14ac:dyDescent="0.2">
      <c r="P277" s="104" t="s">
        <v>591</v>
      </c>
    </row>
    <row r="278" spans="16:16" x14ac:dyDescent="0.2">
      <c r="P278" s="104" t="s">
        <v>470</v>
      </c>
    </row>
    <row r="279" spans="16:16" x14ac:dyDescent="0.2">
      <c r="P279" s="104" t="s">
        <v>548</v>
      </c>
    </row>
    <row r="280" spans="16:16" x14ac:dyDescent="0.2">
      <c r="P280" s="104" t="s">
        <v>549</v>
      </c>
    </row>
    <row r="281" spans="16:16" x14ac:dyDescent="0.2">
      <c r="P281" s="104" t="s">
        <v>243</v>
      </c>
    </row>
    <row r="282" spans="16:16" x14ac:dyDescent="0.2">
      <c r="P282" s="104" t="s">
        <v>333</v>
      </c>
    </row>
    <row r="283" spans="16:16" x14ac:dyDescent="0.2">
      <c r="P283" s="104" t="s">
        <v>286</v>
      </c>
    </row>
    <row r="284" spans="16:16" x14ac:dyDescent="0.2">
      <c r="P284" s="104" t="s">
        <v>287</v>
      </c>
    </row>
    <row r="285" spans="16:16" x14ac:dyDescent="0.2">
      <c r="P285" s="104" t="s">
        <v>288</v>
      </c>
    </row>
    <row r="286" spans="16:16" x14ac:dyDescent="0.2">
      <c r="P286" s="104" t="s">
        <v>592</v>
      </c>
    </row>
    <row r="287" spans="16:16" x14ac:dyDescent="0.2">
      <c r="P287" s="104" t="s">
        <v>334</v>
      </c>
    </row>
    <row r="288" spans="16:16" x14ac:dyDescent="0.2">
      <c r="P288" s="104" t="s">
        <v>550</v>
      </c>
    </row>
    <row r="289" spans="16:16" x14ac:dyDescent="0.2">
      <c r="P289" s="104" t="s">
        <v>266</v>
      </c>
    </row>
    <row r="290" spans="16:16" x14ac:dyDescent="0.2">
      <c r="P290" s="104" t="s">
        <v>414</v>
      </c>
    </row>
    <row r="291" spans="16:16" x14ac:dyDescent="0.2">
      <c r="P291" s="104" t="s">
        <v>415</v>
      </c>
    </row>
    <row r="292" spans="16:16" x14ac:dyDescent="0.2">
      <c r="P292" s="104" t="s">
        <v>267</v>
      </c>
    </row>
    <row r="293" spans="16:16" x14ac:dyDescent="0.2">
      <c r="P293" s="104" t="s">
        <v>551</v>
      </c>
    </row>
    <row r="294" spans="16:16" x14ac:dyDescent="0.2">
      <c r="P294" s="104" t="s">
        <v>471</v>
      </c>
    </row>
    <row r="295" spans="16:16" x14ac:dyDescent="0.2">
      <c r="P295" s="104" t="s">
        <v>335</v>
      </c>
    </row>
    <row r="296" spans="16:16" x14ac:dyDescent="0.2">
      <c r="P296" s="104" t="s">
        <v>416</v>
      </c>
    </row>
    <row r="297" spans="16:16" x14ac:dyDescent="0.2">
      <c r="P297" s="104" t="s">
        <v>367</v>
      </c>
    </row>
    <row r="298" spans="16:16" x14ac:dyDescent="0.2">
      <c r="P298" s="104" t="s">
        <v>336</v>
      </c>
    </row>
    <row r="299" spans="16:16" x14ac:dyDescent="0.2">
      <c r="P299" s="104" t="s">
        <v>473</v>
      </c>
    </row>
    <row r="300" spans="16:16" x14ac:dyDescent="0.2">
      <c r="P300" s="104" t="s">
        <v>593</v>
      </c>
    </row>
    <row r="301" spans="16:16" x14ac:dyDescent="0.2">
      <c r="P301" s="104" t="s">
        <v>244</v>
      </c>
    </row>
    <row r="302" spans="16:16" x14ac:dyDescent="0.2">
      <c r="P302" s="104" t="s">
        <v>474</v>
      </c>
    </row>
    <row r="303" spans="16:16" x14ac:dyDescent="0.2">
      <c r="P303" s="104" t="s">
        <v>417</v>
      </c>
    </row>
    <row r="304" spans="16:16" x14ac:dyDescent="0.2">
      <c r="P304" s="104" t="s">
        <v>337</v>
      </c>
    </row>
    <row r="305" spans="16:16" x14ac:dyDescent="0.2">
      <c r="P305" s="104" t="s">
        <v>289</v>
      </c>
    </row>
    <row r="306" spans="16:16" x14ac:dyDescent="0.2">
      <c r="P306" s="104" t="s">
        <v>502</v>
      </c>
    </row>
    <row r="307" spans="16:16" x14ac:dyDescent="0.2">
      <c r="P307" s="104" t="s">
        <v>338</v>
      </c>
    </row>
    <row r="308" spans="16:16" x14ac:dyDescent="0.2">
      <c r="P308" s="104" t="s">
        <v>368</v>
      </c>
    </row>
    <row r="309" spans="16:16" x14ac:dyDescent="0.2">
      <c r="P309" s="104" t="s">
        <v>552</v>
      </c>
    </row>
    <row r="310" spans="16:16" x14ac:dyDescent="0.2">
      <c r="P310" s="104" t="s">
        <v>339</v>
      </c>
    </row>
    <row r="311" spans="16:16" x14ac:dyDescent="0.2">
      <c r="P311" s="104" t="s">
        <v>369</v>
      </c>
    </row>
    <row r="312" spans="16:16" x14ac:dyDescent="0.2">
      <c r="P312" s="104" t="s">
        <v>475</v>
      </c>
    </row>
    <row r="313" spans="16:16" x14ac:dyDescent="0.2">
      <c r="P313" s="104" t="s">
        <v>340</v>
      </c>
    </row>
    <row r="314" spans="16:16" x14ac:dyDescent="0.2">
      <c r="P314" s="104" t="s">
        <v>290</v>
      </c>
    </row>
    <row r="315" spans="16:16" x14ac:dyDescent="0.2">
      <c r="P315" s="107" t="s">
        <v>476</v>
      </c>
    </row>
    <row r="316" spans="16:16" x14ac:dyDescent="0.2">
      <c r="P316" s="104" t="s">
        <v>594</v>
      </c>
    </row>
    <row r="317" spans="16:16" x14ac:dyDescent="0.2">
      <c r="P317" s="104" t="s">
        <v>595</v>
      </c>
    </row>
    <row r="318" spans="16:16" x14ac:dyDescent="0.2">
      <c r="P318" s="104" t="s">
        <v>553</v>
      </c>
    </row>
    <row r="319" spans="16:16" x14ac:dyDescent="0.2">
      <c r="P319" s="104" t="s">
        <v>477</v>
      </c>
    </row>
    <row r="320" spans="16:16" x14ac:dyDescent="0.2">
      <c r="P320" s="104" t="s">
        <v>341</v>
      </c>
    </row>
    <row r="321" spans="16:16" x14ac:dyDescent="0.2">
      <c r="P321" s="104" t="s">
        <v>554</v>
      </c>
    </row>
    <row r="322" spans="16:16" x14ac:dyDescent="0.2">
      <c r="P322" s="104" t="s">
        <v>418</v>
      </c>
    </row>
    <row r="323" spans="16:16" x14ac:dyDescent="0.2">
      <c r="P323" s="104" t="s">
        <v>342</v>
      </c>
    </row>
    <row r="324" spans="16:16" x14ac:dyDescent="0.2">
      <c r="P324" s="104" t="s">
        <v>478</v>
      </c>
    </row>
    <row r="325" spans="16:16" x14ac:dyDescent="0.2">
      <c r="P325" s="104" t="s">
        <v>268</v>
      </c>
    </row>
    <row r="326" spans="16:16" x14ac:dyDescent="0.2">
      <c r="P326" s="104" t="s">
        <v>555</v>
      </c>
    </row>
    <row r="327" spans="16:16" x14ac:dyDescent="0.2">
      <c r="P327" s="104" t="s">
        <v>596</v>
      </c>
    </row>
    <row r="328" spans="16:16" x14ac:dyDescent="0.2">
      <c r="P328" s="104" t="s">
        <v>503</v>
      </c>
    </row>
    <row r="329" spans="16:16" x14ac:dyDescent="0.2">
      <c r="P329" s="118" t="s">
        <v>629</v>
      </c>
    </row>
    <row r="330" spans="16:16" x14ac:dyDescent="0.2">
      <c r="P330" s="107" t="s">
        <v>744</v>
      </c>
    </row>
    <row r="331" spans="16:16" x14ac:dyDescent="0.2">
      <c r="P331" s="104" t="s">
        <v>597</v>
      </c>
    </row>
    <row r="332" spans="16:16" x14ac:dyDescent="0.2">
      <c r="P332" s="104" t="s">
        <v>619</v>
      </c>
    </row>
    <row r="333" spans="16:16" x14ac:dyDescent="0.2">
      <c r="P333" s="104" t="s">
        <v>557</v>
      </c>
    </row>
    <row r="334" spans="16:16" x14ac:dyDescent="0.2">
      <c r="P334" s="104" t="s">
        <v>558</v>
      </c>
    </row>
    <row r="335" spans="16:16" x14ac:dyDescent="0.2">
      <c r="P335" s="104" t="s">
        <v>598</v>
      </c>
    </row>
    <row r="336" spans="16:16" x14ac:dyDescent="0.2">
      <c r="P336" s="104" t="s">
        <v>480</v>
      </c>
    </row>
    <row r="337" spans="16:16" x14ac:dyDescent="0.2">
      <c r="P337" s="104" t="s">
        <v>245</v>
      </c>
    </row>
    <row r="338" spans="16:16" x14ac:dyDescent="0.2">
      <c r="P338" s="104" t="s">
        <v>504</v>
      </c>
    </row>
    <row r="339" spans="16:16" x14ac:dyDescent="0.2">
      <c r="P339" s="104" t="s">
        <v>269</v>
      </c>
    </row>
    <row r="340" spans="16:16" x14ac:dyDescent="0.2">
      <c r="P340" s="104" t="s">
        <v>370</v>
      </c>
    </row>
    <row r="341" spans="16:16" x14ac:dyDescent="0.2">
      <c r="P341" s="104" t="s">
        <v>559</v>
      </c>
    </row>
    <row r="342" spans="16:16" x14ac:dyDescent="0.2">
      <c r="P342" s="104" t="s">
        <v>560</v>
      </c>
    </row>
    <row r="343" spans="16:16" x14ac:dyDescent="0.2">
      <c r="P343" s="104" t="s">
        <v>246</v>
      </c>
    </row>
    <row r="344" spans="16:16" x14ac:dyDescent="0.2">
      <c r="P344" s="104" t="s">
        <v>291</v>
      </c>
    </row>
    <row r="345" spans="16:16" x14ac:dyDescent="0.2">
      <c r="P345" s="104" t="s">
        <v>420</v>
      </c>
    </row>
    <row r="346" spans="16:16" x14ac:dyDescent="0.2">
      <c r="P346" s="104" t="s">
        <v>561</v>
      </c>
    </row>
    <row r="347" spans="16:16" x14ac:dyDescent="0.2">
      <c r="P347" s="104" t="s">
        <v>292</v>
      </c>
    </row>
    <row r="348" spans="16:16" x14ac:dyDescent="0.2">
      <c r="P348" s="107" t="s">
        <v>599</v>
      </c>
    </row>
    <row r="349" spans="16:16" x14ac:dyDescent="0.2">
      <c r="P349" s="104" t="s">
        <v>371</v>
      </c>
    </row>
    <row r="350" spans="16:16" x14ac:dyDescent="0.2">
      <c r="P350" s="104" t="s">
        <v>482</v>
      </c>
    </row>
    <row r="351" spans="16:16" x14ac:dyDescent="0.2">
      <c r="P351" s="104" t="s">
        <v>620</v>
      </c>
    </row>
    <row r="352" spans="16:16" x14ac:dyDescent="0.2">
      <c r="P352" s="104" t="s">
        <v>247</v>
      </c>
    </row>
    <row r="353" spans="16:16" x14ac:dyDescent="0.2">
      <c r="P353" s="104" t="s">
        <v>505</v>
      </c>
    </row>
    <row r="354" spans="16:16" x14ac:dyDescent="0.2">
      <c r="P354" s="104" t="s">
        <v>270</v>
      </c>
    </row>
    <row r="355" spans="16:16" x14ac:dyDescent="0.2">
      <c r="P355" s="104" t="s">
        <v>421</v>
      </c>
    </row>
    <row r="356" spans="16:16" x14ac:dyDescent="0.2">
      <c r="P356" s="104" t="s">
        <v>483</v>
      </c>
    </row>
    <row r="357" spans="16:16" x14ac:dyDescent="0.2">
      <c r="P357" s="104" t="s">
        <v>506</v>
      </c>
    </row>
    <row r="358" spans="16:16" x14ac:dyDescent="0.2">
      <c r="P358" s="104" t="s">
        <v>343</v>
      </c>
    </row>
    <row r="359" spans="16:16" x14ac:dyDescent="0.2">
      <c r="P359" s="104" t="s">
        <v>562</v>
      </c>
    </row>
    <row r="360" spans="16:16" x14ac:dyDescent="0.2">
      <c r="P360" s="104" t="s">
        <v>293</v>
      </c>
    </row>
    <row r="361" spans="16:16" x14ac:dyDescent="0.2">
      <c r="P361" s="104" t="s">
        <v>294</v>
      </c>
    </row>
    <row r="362" spans="16:16" x14ac:dyDescent="0.2">
      <c r="P362" s="104" t="s">
        <v>225</v>
      </c>
    </row>
    <row r="363" spans="16:16" x14ac:dyDescent="0.2">
      <c r="P363" s="104" t="s">
        <v>271</v>
      </c>
    </row>
    <row r="364" spans="16:16" x14ac:dyDescent="0.2">
      <c r="P364" s="104" t="s">
        <v>563</v>
      </c>
    </row>
    <row r="365" spans="16:16" x14ac:dyDescent="0.2">
      <c r="P365" s="104" t="s">
        <v>422</v>
      </c>
    </row>
    <row r="366" spans="16:16" x14ac:dyDescent="0.2">
      <c r="P366" s="104" t="s">
        <v>423</v>
      </c>
    </row>
    <row r="367" spans="16:16" x14ac:dyDescent="0.2">
      <c r="P367" s="104" t="s">
        <v>610</v>
      </c>
    </row>
    <row r="368" spans="16:16" x14ac:dyDescent="0.2">
      <c r="P368" s="104" t="s">
        <v>372</v>
      </c>
    </row>
    <row r="369" spans="16:16" x14ac:dyDescent="0.2">
      <c r="P369" s="104" t="s">
        <v>373</v>
      </c>
    </row>
    <row r="370" spans="16:16" x14ac:dyDescent="0.2">
      <c r="P370" s="104" t="s">
        <v>600</v>
      </c>
    </row>
    <row r="371" spans="16:16" x14ac:dyDescent="0.2">
      <c r="P371" s="104" t="s">
        <v>601</v>
      </c>
    </row>
    <row r="372" spans="16:16" x14ac:dyDescent="0.2">
      <c r="P372" s="104" t="s">
        <v>564</v>
      </c>
    </row>
    <row r="373" spans="16:16" x14ac:dyDescent="0.2">
      <c r="P373" s="104" t="s">
        <v>248</v>
      </c>
    </row>
    <row r="374" spans="16:16" x14ac:dyDescent="0.2">
      <c r="P374" s="104" t="s">
        <v>374</v>
      </c>
    </row>
    <row r="375" spans="16:16" x14ac:dyDescent="0.2">
      <c r="P375" s="104" t="s">
        <v>507</v>
      </c>
    </row>
    <row r="376" spans="16:16" x14ac:dyDescent="0.2">
      <c r="P376" s="104" t="s">
        <v>565</v>
      </c>
    </row>
    <row r="377" spans="16:16" x14ac:dyDescent="0.2">
      <c r="P377" s="104" t="s">
        <v>566</v>
      </c>
    </row>
    <row r="378" spans="16:16" x14ac:dyDescent="0.2">
      <c r="P378" s="104" t="s">
        <v>424</v>
      </c>
    </row>
    <row r="379" spans="16:16" x14ac:dyDescent="0.2">
      <c r="P379" s="104" t="s">
        <v>602</v>
      </c>
    </row>
    <row r="380" spans="16:16" x14ac:dyDescent="0.2">
      <c r="P380" s="104" t="s">
        <v>603</v>
      </c>
    </row>
    <row r="381" spans="16:16" x14ac:dyDescent="0.2">
      <c r="P381" s="104" t="s">
        <v>375</v>
      </c>
    </row>
    <row r="382" spans="16:16" x14ac:dyDescent="0.2">
      <c r="P382" s="104" t="s">
        <v>484</v>
      </c>
    </row>
    <row r="383" spans="16:16" x14ac:dyDescent="0.2">
      <c r="P383" s="104" t="s">
        <v>249</v>
      </c>
    </row>
    <row r="384" spans="16:16" x14ac:dyDescent="0.2">
      <c r="P384" s="104" t="s">
        <v>272</v>
      </c>
    </row>
    <row r="385" spans="16:16" x14ac:dyDescent="0.2">
      <c r="P385" s="104" t="s">
        <v>508</v>
      </c>
    </row>
    <row r="386" spans="16:16" x14ac:dyDescent="0.2">
      <c r="P386" s="104" t="s">
        <v>604</v>
      </c>
    </row>
    <row r="387" spans="16:16" x14ac:dyDescent="0.2">
      <c r="P387" s="104" t="s">
        <v>486</v>
      </c>
    </row>
    <row r="388" spans="16:16" x14ac:dyDescent="0.2">
      <c r="P388" s="104" t="s">
        <v>345</v>
      </c>
    </row>
    <row r="389" spans="16:16" x14ac:dyDescent="0.2">
      <c r="P389" s="104" t="s">
        <v>567</v>
      </c>
    </row>
    <row r="390" spans="16:16" x14ac:dyDescent="0.2">
      <c r="P390" s="104" t="s">
        <v>568</v>
      </c>
    </row>
    <row r="391" spans="16:16" x14ac:dyDescent="0.2">
      <c r="P391" s="104" t="s">
        <v>569</v>
      </c>
    </row>
    <row r="392" spans="16:16" x14ac:dyDescent="0.2">
      <c r="P392" s="104" t="s">
        <v>487</v>
      </c>
    </row>
    <row r="393" spans="16:16" x14ac:dyDescent="0.2">
      <c r="P393" s="104" t="s">
        <v>346</v>
      </c>
    </row>
    <row r="394" spans="16:16" x14ac:dyDescent="0.2">
      <c r="P394" s="104" t="s">
        <v>488</v>
      </c>
    </row>
    <row r="395" spans="16:16" x14ac:dyDescent="0.2">
      <c r="P395" s="104" t="s">
        <v>425</v>
      </c>
    </row>
    <row r="396" spans="16:16" x14ac:dyDescent="0.2">
      <c r="P396" s="104" t="s">
        <v>605</v>
      </c>
    </row>
    <row r="397" spans="16:16" x14ac:dyDescent="0.2">
      <c r="P397" s="104" t="s">
        <v>426</v>
      </c>
    </row>
    <row r="398" spans="16:16" x14ac:dyDescent="0.2">
      <c r="P398" s="104" t="s">
        <v>570</v>
      </c>
    </row>
    <row r="399" spans="16:16" x14ac:dyDescent="0.2">
      <c r="P399" s="104" t="s">
        <v>347</v>
      </c>
    </row>
    <row r="400" spans="16:16" x14ac:dyDescent="0.2">
      <c r="P400" s="104" t="s">
        <v>226</v>
      </c>
    </row>
    <row r="401" spans="16:16" x14ac:dyDescent="0.2">
      <c r="P401" s="104" t="s">
        <v>348</v>
      </c>
    </row>
    <row r="402" spans="16:16" x14ac:dyDescent="0.2">
      <c r="P402" s="104" t="s">
        <v>489</v>
      </c>
    </row>
    <row r="403" spans="16:16" x14ac:dyDescent="0.2">
      <c r="P403" s="104" t="s">
        <v>273</v>
      </c>
    </row>
    <row r="404" spans="16:16" x14ac:dyDescent="0.2">
      <c r="P404" s="104" t="s">
        <v>490</v>
      </c>
    </row>
    <row r="405" spans="16:16" x14ac:dyDescent="0.2">
      <c r="P405" s="104" t="s">
        <v>295</v>
      </c>
    </row>
    <row r="406" spans="16:16" x14ac:dyDescent="0.2">
      <c r="P406" s="104" t="s">
        <v>349</v>
      </c>
    </row>
    <row r="407" spans="16:16" x14ac:dyDescent="0.2">
      <c r="P407" s="104" t="s">
        <v>427</v>
      </c>
    </row>
    <row r="408" spans="16:16" x14ac:dyDescent="0.2">
      <c r="P408" s="104" t="s">
        <v>376</v>
      </c>
    </row>
    <row r="409" spans="16:16" x14ac:dyDescent="0.2">
      <c r="P409" s="104" t="s">
        <v>250</v>
      </c>
    </row>
    <row r="410" spans="16:16" x14ac:dyDescent="0.2">
      <c r="P410" s="104" t="s">
        <v>350</v>
      </c>
    </row>
    <row r="411" spans="16:16" x14ac:dyDescent="0.2">
      <c r="P411" s="104" t="s">
        <v>571</v>
      </c>
    </row>
    <row r="412" spans="16:16" x14ac:dyDescent="0.2">
      <c r="P412" s="104" t="s">
        <v>377</v>
      </c>
    </row>
    <row r="413" spans="16:16" x14ac:dyDescent="0.2">
      <c r="P413" s="104" t="s">
        <v>428</v>
      </c>
    </row>
    <row r="414" spans="16:16" x14ac:dyDescent="0.2">
      <c r="P414" s="104" t="s">
        <v>378</v>
      </c>
    </row>
    <row r="415" spans="16:16" x14ac:dyDescent="0.2">
      <c r="P415" s="104" t="s">
        <v>572</v>
      </c>
    </row>
    <row r="416" spans="16:16" x14ac:dyDescent="0.2">
      <c r="P416" s="104" t="s">
        <v>429</v>
      </c>
    </row>
    <row r="417" spans="16:16" x14ac:dyDescent="0.2">
      <c r="P417" s="104" t="s">
        <v>351</v>
      </c>
    </row>
    <row r="418" spans="16:16" x14ac:dyDescent="0.2">
      <c r="P418" s="104" t="s">
        <v>430</v>
      </c>
    </row>
    <row r="419" spans="16:16" x14ac:dyDescent="0.2">
      <c r="P419" s="104" t="s">
        <v>491</v>
      </c>
    </row>
    <row r="420" spans="16:16" x14ac:dyDescent="0.2">
      <c r="P420" s="104" t="s">
        <v>431</v>
      </c>
    </row>
    <row r="421" spans="16:16" x14ac:dyDescent="0.2">
      <c r="P421" s="104" t="s">
        <v>611</v>
      </c>
    </row>
    <row r="422" spans="16:16" x14ac:dyDescent="0.2">
      <c r="P422" s="104" t="s">
        <v>379</v>
      </c>
    </row>
    <row r="423" spans="16:16" x14ac:dyDescent="0.2">
      <c r="P423" s="104" t="s">
        <v>352</v>
      </c>
    </row>
    <row r="424" spans="16:16" x14ac:dyDescent="0.2">
      <c r="P424" s="104" t="s">
        <v>492</v>
      </c>
    </row>
    <row r="425" spans="16:16" x14ac:dyDescent="0.2">
      <c r="P425" s="104" t="s">
        <v>493</v>
      </c>
    </row>
    <row r="426" spans="16:16" x14ac:dyDescent="0.2">
      <c r="P426" s="104" t="s">
        <v>251</v>
      </c>
    </row>
    <row r="427" spans="16:16" x14ac:dyDescent="0.2">
      <c r="P427" s="104" t="s">
        <v>494</v>
      </c>
    </row>
    <row r="428" spans="16:16" x14ac:dyDescent="0.2">
      <c r="P428" s="104" t="s">
        <v>573</v>
      </c>
    </row>
    <row r="429" spans="16:16" x14ac:dyDescent="0.2">
      <c r="P429" s="104" t="s">
        <v>353</v>
      </c>
    </row>
    <row r="430" spans="16:16" x14ac:dyDescent="0.2">
      <c r="P430" s="104" t="s">
        <v>296</v>
      </c>
    </row>
    <row r="431" spans="16:16" x14ac:dyDescent="0.2">
      <c r="P431" s="104" t="s">
        <v>495</v>
      </c>
    </row>
    <row r="432" spans="16:16" x14ac:dyDescent="0.2">
      <c r="P432" s="104" t="s">
        <v>297</v>
      </c>
    </row>
    <row r="433" spans="16:16" x14ac:dyDescent="0.2">
      <c r="P433" s="107" t="s">
        <v>628</v>
      </c>
    </row>
    <row r="434" spans="16:16" x14ac:dyDescent="0.2">
      <c r="P434" s="107" t="s">
        <v>745</v>
      </c>
    </row>
  </sheetData>
  <sheetProtection password="ABC0" sheet="1" scenarios="1" selectLockedCells="1"/>
  <dataConsolidate/>
  <mergeCells count="3">
    <mergeCell ref="E2:F2"/>
    <mergeCell ref="A3:B3"/>
    <mergeCell ref="A1:B1"/>
  </mergeCells>
  <dataValidations count="7">
    <dataValidation type="list" allowBlank="1" showInputMessage="1" showErrorMessage="1" promptTitle="Scenario" prompt="Met het scrolmenu kunt u kiezen uit drie scenario's. Trend is het nul scenario. Slechtweer is het vast ingestelde slechtweerscenario. _x000a_Op de stand handmatig kunt u zelf een slechtweerscenario onder de kolom handmatig definieren.  " sqref="G2">
      <formula1>"Trend,Slechtweer,Handmatig"</formula1>
    </dataValidation>
    <dataValidation type="list" allowBlank="1" showInputMessage="1" showErrorMessage="1" promptTitle="Selecteer gemeentenaam" prompt="Selecteer met het scrolmenu de gemeentenaam " sqref="C2">
      <formula1>$P$40:$P$432</formula1>
    </dataValidation>
    <dataValidation allowBlank="1" showInputMessage="1" showErrorMessage="1" promptTitle="Onbenutte belastingcapaciteit" prompt="Het bedrag is een schatting op basis van begrotingsjaar 2014. Schrijf bij een afwijking van betekenis de formule over met het bedrag aan onbenutte belastingcapaciteit OZB in 2015 volgens de artikel 12 toelatingsnormen. " sqref="G15"/>
    <dataValidation allowBlank="1" showInputMessage="1" showErrorMessage="1" promptTitle="Bepalen houdbaarheidstekort" prompt="Als alles is ingevuld, bepaal hier het houdbaarheidstekort. Pas percentage aan zodat de netto schuldquote na 2021 licht daalt. Of zoek bij sturing op gewenst vermogen het percentage voor bijvoorbeeld een netto schuldquote van 90% in 2021.    " sqref="G17"/>
    <dataValidation allowBlank="1" showInputMessage="1" showErrorMessage="1" promptTitle="Investeringsvolume" prompt="Hier kan de gemiddelde investeringsruimte vanaf 2016 voor de scenario's Handmatig en Slechtweer worden aangepast. Bij een positief percentage wordt de ruimte kleiner. Bij een negatief percentage groter. " sqref="I19"/>
    <dataValidation allowBlank="1" showInputMessage="1" showErrorMessage="1" promptTitle="Rente liquide middelen" prompt="Wijzig het percentage in de daadwerkelijke rente die de gemeente nu gemiddeld ontvangt over de liquide middelen en kort lopende uitzettingen." sqref="C12"/>
    <dataValidation allowBlank="1" showInputMessage="1" showErrorMessage="1" promptTitle="Rente kortlopende schuld" prompt="Wijzig het percentage in het gemiddelde rentepercentage dat de gemeente nu betaalt voor aangetrokken kort geld en roodstand." sqref="C13"/>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zoomScale="75" zoomScaleNormal="75" workbookViewId="0">
      <selection activeCell="B6" sqref="B6"/>
    </sheetView>
  </sheetViews>
  <sheetFormatPr defaultColWidth="9.140625" defaultRowHeight="12.75" x14ac:dyDescent="0.2"/>
  <cols>
    <col min="1" max="1" width="38.7109375" style="16" bestFit="1" customWidth="1"/>
    <col min="2" max="2" width="21" style="16" customWidth="1"/>
    <col min="3" max="3" width="18.5703125" style="16" customWidth="1"/>
    <col min="4" max="4" width="9.140625" style="16"/>
    <col min="5" max="5" width="48.28515625" style="16" bestFit="1" customWidth="1"/>
    <col min="6" max="7" width="19" style="16" customWidth="1"/>
    <col min="8" max="16384" width="9.140625" style="16"/>
  </cols>
  <sheetData>
    <row r="1" spans="1:7" x14ac:dyDescent="0.2">
      <c r="A1" s="53" t="s">
        <v>178</v>
      </c>
      <c r="B1" s="68">
        <f>Macrogegevens!C1</f>
        <v>2015</v>
      </c>
      <c r="C1" s="68"/>
      <c r="D1" s="68"/>
    </row>
    <row r="2" spans="1:7" x14ac:dyDescent="0.2">
      <c r="A2" s="53" t="s">
        <v>738</v>
      </c>
      <c r="B2" s="70" t="str">
        <f>Macrogegevens!C2</f>
        <v>Zwartewaterland</v>
      </c>
      <c r="C2" s="69"/>
      <c r="D2" s="69"/>
    </row>
    <row r="3" spans="1:7" x14ac:dyDescent="0.2">
      <c r="A3" s="53"/>
      <c r="B3" s="77" t="s">
        <v>200</v>
      </c>
      <c r="C3" s="73" t="s">
        <v>200</v>
      </c>
      <c r="D3" s="71"/>
      <c r="F3" s="77" t="s">
        <v>200</v>
      </c>
      <c r="G3" s="73" t="s">
        <v>200</v>
      </c>
    </row>
    <row r="4" spans="1:7" x14ac:dyDescent="0.2">
      <c r="A4" s="75" t="s">
        <v>185</v>
      </c>
      <c r="B4" s="78">
        <f>SUM(B1,-1)</f>
        <v>2014</v>
      </c>
      <c r="C4" s="74">
        <f>B1</f>
        <v>2015</v>
      </c>
      <c r="D4" s="67"/>
      <c r="E4" s="75" t="s">
        <v>186</v>
      </c>
      <c r="F4" s="78">
        <f>SUM(B1,-1)</f>
        <v>2014</v>
      </c>
      <c r="G4" s="74">
        <f>B1</f>
        <v>2015</v>
      </c>
    </row>
    <row r="5" spans="1:7" x14ac:dyDescent="0.2">
      <c r="A5" s="53"/>
      <c r="B5" s="79"/>
      <c r="C5" s="67"/>
      <c r="D5" s="67"/>
      <c r="F5" s="80"/>
    </row>
    <row r="6" spans="1:7" x14ac:dyDescent="0.2">
      <c r="A6" s="171" t="s">
        <v>674</v>
      </c>
      <c r="B6" s="242">
        <v>1</v>
      </c>
      <c r="C6" s="84"/>
      <c r="E6" s="171" t="s">
        <v>656</v>
      </c>
      <c r="F6" s="251">
        <f>SUM(F31,-F8,-F13,-F16,-F18,-F20)</f>
        <v>7</v>
      </c>
      <c r="G6" s="252">
        <f>SUM(G31,-G8,-G13,-G16,-G18,-G20)</f>
        <v>6.9997669711111108</v>
      </c>
    </row>
    <row r="7" spans="1:7" x14ac:dyDescent="0.2">
      <c r="A7" s="171" t="s">
        <v>673</v>
      </c>
      <c r="B7" s="242">
        <v>1</v>
      </c>
      <c r="C7" s="67"/>
      <c r="F7" s="173"/>
      <c r="G7" s="174"/>
    </row>
    <row r="8" spans="1:7" x14ac:dyDescent="0.2">
      <c r="A8" s="53" t="s">
        <v>675</v>
      </c>
      <c r="B8" s="92">
        <f>SUM(B6,B7)</f>
        <v>2</v>
      </c>
      <c r="C8" s="84">
        <f>SUM(B8,-'Investeringen &amp; financiering'!C6,-'Investeringen &amp; financiering'!C7,-C35,-C36,C39)</f>
        <v>3</v>
      </c>
      <c r="E8" s="171" t="s">
        <v>651</v>
      </c>
      <c r="F8" s="242">
        <v>1</v>
      </c>
      <c r="G8" s="253">
        <f>SUM(F8,G37)</f>
        <v>1</v>
      </c>
    </row>
    <row r="9" spans="1:7" x14ac:dyDescent="0.2">
      <c r="B9" s="164"/>
      <c r="C9" s="67"/>
      <c r="E9" s="53" t="s">
        <v>655</v>
      </c>
      <c r="F9" s="86">
        <f>SUM(F6,F8)</f>
        <v>8</v>
      </c>
      <c r="G9" s="84">
        <f>SUM(G6,G8)</f>
        <v>7.9997669711111108</v>
      </c>
    </row>
    <row r="10" spans="1:7" x14ac:dyDescent="0.2">
      <c r="A10" s="53" t="s">
        <v>179</v>
      </c>
      <c r="B10" s="163">
        <v>1</v>
      </c>
      <c r="C10" s="84">
        <f>SUM(B10,-'Investeringen &amp; financiering'!G6,-'Investeringen &amp; financiering'!G7,C40)</f>
        <v>1</v>
      </c>
      <c r="F10" s="79"/>
    </row>
    <row r="11" spans="1:7" x14ac:dyDescent="0.2">
      <c r="B11" s="92"/>
      <c r="C11" s="84"/>
      <c r="E11" s="171" t="s">
        <v>653</v>
      </c>
      <c r="F11" s="242">
        <v>1</v>
      </c>
      <c r="G11" s="84"/>
    </row>
    <row r="12" spans="1:7" x14ac:dyDescent="0.2">
      <c r="A12" s="171" t="s">
        <v>180</v>
      </c>
      <c r="B12" s="242">
        <v>1</v>
      </c>
      <c r="C12" s="175">
        <f>SUM(B12,-'Investeringen &amp; financiering'!C54,C41)</f>
        <v>1</v>
      </c>
      <c r="E12" s="171" t="s">
        <v>652</v>
      </c>
      <c r="F12" s="242">
        <v>1</v>
      </c>
      <c r="G12" s="84"/>
    </row>
    <row r="13" spans="1:7" x14ac:dyDescent="0.2">
      <c r="A13" s="171" t="s">
        <v>181</v>
      </c>
      <c r="B13" s="242">
        <v>1</v>
      </c>
      <c r="C13" s="175">
        <f>SUM(B13,-'Investeringen &amp; financiering'!D54,C42)</f>
        <v>1</v>
      </c>
      <c r="E13" s="53" t="s">
        <v>658</v>
      </c>
      <c r="F13" s="92">
        <f>SUM(F11,F12)</f>
        <v>2</v>
      </c>
      <c r="G13" s="84">
        <f>SUM(F13,-'Investeringen &amp; financiering'!C30,-'Investeringen &amp; financiering'!D30,-'Investeringen &amp; financiering'!E30,-'Investeringen &amp; financiering'!F30,-'Investeringen &amp; financiering'!G30,-'Investeringen &amp; financiering'!H30,-'Investeringen &amp; financiering'!K30,-'Investeringen &amp; financiering'!L30,-'Investeringen &amp; financiering'!M30,Macrogegevens!V4,-Macrogegevens!V5,-C39,-C40,C43)</f>
        <v>2.0002330288888892</v>
      </c>
    </row>
    <row r="14" spans="1:7" x14ac:dyDescent="0.2">
      <c r="A14" s="53" t="s">
        <v>659</v>
      </c>
      <c r="B14" s="92">
        <f>SUM(B12,B13)</f>
        <v>2</v>
      </c>
      <c r="C14" s="84">
        <f>SUM(C12,C13)</f>
        <v>2</v>
      </c>
      <c r="F14" s="79"/>
      <c r="G14" s="67"/>
    </row>
    <row r="15" spans="1:7" x14ac:dyDescent="0.2">
      <c r="B15" s="92"/>
      <c r="C15" s="84"/>
      <c r="F15" s="79"/>
      <c r="G15" s="67"/>
    </row>
    <row r="16" spans="1:7" x14ac:dyDescent="0.2">
      <c r="A16" s="53" t="s">
        <v>182</v>
      </c>
      <c r="B16" s="163">
        <v>1</v>
      </c>
      <c r="C16" s="84">
        <f>SUM(B16,-'Investeringen &amp; financiering'!E30,C43)</f>
        <v>1</v>
      </c>
      <c r="E16" s="53" t="s">
        <v>654</v>
      </c>
      <c r="F16" s="163">
        <v>1</v>
      </c>
      <c r="G16" s="84">
        <f>SUM(F16,'Investeringen &amp; financiering'!K30)</f>
        <v>1</v>
      </c>
    </row>
    <row r="17" spans="1:7" x14ac:dyDescent="0.2">
      <c r="B17" s="92"/>
      <c r="C17" s="84"/>
      <c r="F17" s="79"/>
      <c r="G17" s="67"/>
    </row>
    <row r="18" spans="1:7" x14ac:dyDescent="0.2">
      <c r="A18" s="53" t="s">
        <v>648</v>
      </c>
      <c r="B18" s="163">
        <v>1</v>
      </c>
      <c r="C18" s="84">
        <f>SUM(B18,-C37,-'Investeringen &amp; financiering'!F6)</f>
        <v>0</v>
      </c>
      <c r="E18" s="53" t="s">
        <v>43</v>
      </c>
      <c r="F18" s="163">
        <v>1</v>
      </c>
      <c r="G18" s="84">
        <f>SUM(F18,'Investeringen &amp; financiering'!L30)</f>
        <v>1</v>
      </c>
    </row>
    <row r="19" spans="1:7" x14ac:dyDescent="0.2">
      <c r="B19" s="79"/>
      <c r="F19" s="92"/>
      <c r="G19" s="84"/>
    </row>
    <row r="20" spans="1:7" x14ac:dyDescent="0.2">
      <c r="A20" s="171" t="s">
        <v>649</v>
      </c>
      <c r="B20" s="242">
        <v>1</v>
      </c>
      <c r="C20" s="172">
        <f>SUM(B20,-'Investeringen &amp; financiering'!D6,C44)</f>
        <v>1</v>
      </c>
      <c r="E20" s="53" t="s">
        <v>33</v>
      </c>
      <c r="F20" s="166">
        <v>1</v>
      </c>
      <c r="G20" s="167">
        <f>SUM(F20,'Investeringen &amp; financiering'!M30)</f>
        <v>1</v>
      </c>
    </row>
    <row r="21" spans="1:7" x14ac:dyDescent="0.2">
      <c r="A21" s="171" t="s">
        <v>676</v>
      </c>
      <c r="B21" s="242">
        <v>1</v>
      </c>
      <c r="C21" s="172">
        <f>SUM(B21,C45)</f>
        <v>1</v>
      </c>
      <c r="F21" s="92"/>
      <c r="G21" s="170"/>
    </row>
    <row r="22" spans="1:7" x14ac:dyDescent="0.2">
      <c r="A22" s="171" t="s">
        <v>31</v>
      </c>
      <c r="B22" s="242">
        <v>1</v>
      </c>
      <c r="C22" s="172">
        <f>SUM(B22,-'Investeringen &amp; financiering'!E6)</f>
        <v>1</v>
      </c>
      <c r="F22" s="79"/>
      <c r="G22" s="67"/>
    </row>
    <row r="23" spans="1:7" x14ac:dyDescent="0.2">
      <c r="A23" s="53" t="s">
        <v>657</v>
      </c>
      <c r="B23" s="92">
        <f>SUM(B20,B21,B22)</f>
        <v>3</v>
      </c>
      <c r="C23" s="84">
        <f>SUM(C20,C21,C22)</f>
        <v>3</v>
      </c>
      <c r="F23" s="92"/>
      <c r="G23" s="84"/>
    </row>
    <row r="24" spans="1:7" x14ac:dyDescent="0.2">
      <c r="B24" s="79"/>
      <c r="F24" s="92"/>
      <c r="G24" s="84"/>
    </row>
    <row r="25" spans="1:7" x14ac:dyDescent="0.2">
      <c r="A25" s="53" t="s">
        <v>183</v>
      </c>
      <c r="B25" s="163">
        <v>1</v>
      </c>
      <c r="C25" s="84">
        <f>SUM(B25,-'Investeringen &amp; financiering'!F30)</f>
        <v>1</v>
      </c>
      <c r="F25" s="92"/>
      <c r="G25" s="84"/>
    </row>
    <row r="26" spans="1:7" x14ac:dyDescent="0.2">
      <c r="B26" s="92"/>
      <c r="C26" s="84"/>
      <c r="F26" s="92"/>
      <c r="G26" s="84"/>
    </row>
    <row r="27" spans="1:7" x14ac:dyDescent="0.2">
      <c r="A27" s="53" t="s">
        <v>650</v>
      </c>
      <c r="B27" s="163">
        <v>1</v>
      </c>
      <c r="C27" s="212">
        <f>SUM(B27,-'Investeringen &amp; financiering'!G30)</f>
        <v>1</v>
      </c>
      <c r="F27" s="79"/>
      <c r="G27" s="67"/>
    </row>
    <row r="28" spans="1:7" x14ac:dyDescent="0.2">
      <c r="A28" s="53"/>
      <c r="B28" s="211"/>
      <c r="C28" s="212"/>
      <c r="F28" s="79"/>
      <c r="G28" s="67"/>
    </row>
    <row r="29" spans="1:7" x14ac:dyDescent="0.2">
      <c r="A29" s="75" t="s">
        <v>32</v>
      </c>
      <c r="B29" s="165">
        <v>1</v>
      </c>
      <c r="C29" s="85">
        <f>SUM(B29,-'Investeringen &amp; financiering'!H30)</f>
        <v>1</v>
      </c>
      <c r="E29" s="76"/>
      <c r="F29" s="176"/>
      <c r="G29" s="213"/>
    </row>
    <row r="30" spans="1:7" x14ac:dyDescent="0.2">
      <c r="A30" s="210"/>
      <c r="B30" s="214"/>
      <c r="C30" s="170"/>
      <c r="E30" s="54"/>
      <c r="F30" s="215"/>
      <c r="G30" s="170"/>
    </row>
    <row r="31" spans="1:7" x14ac:dyDescent="0.2">
      <c r="A31" s="53" t="s">
        <v>184</v>
      </c>
      <c r="B31" s="86">
        <f>SUM(B8,B10,B14,B16,B18,B23,B25,B27,B29)</f>
        <v>13</v>
      </c>
      <c r="C31" s="84">
        <f>SUM(C8,C10,C12,C13,C16,C18,C23,C25,C27,C29)</f>
        <v>13</v>
      </c>
      <c r="E31" s="53" t="s">
        <v>184</v>
      </c>
      <c r="F31" s="86">
        <f>B31</f>
        <v>13</v>
      </c>
      <c r="G31" s="84">
        <f>C31</f>
        <v>13</v>
      </c>
    </row>
    <row r="32" spans="1:7" x14ac:dyDescent="0.2">
      <c r="A32" s="53"/>
      <c r="B32" s="170"/>
      <c r="C32" s="84"/>
      <c r="E32" s="53"/>
      <c r="F32" s="170"/>
      <c r="G32" s="84"/>
    </row>
    <row r="33" spans="1:7" x14ac:dyDescent="0.2">
      <c r="F33" s="54"/>
    </row>
    <row r="34" spans="1:7" x14ac:dyDescent="0.2">
      <c r="A34" s="53" t="s">
        <v>26</v>
      </c>
      <c r="C34" s="75" t="s">
        <v>708</v>
      </c>
      <c r="E34" s="53" t="s">
        <v>26</v>
      </c>
      <c r="F34" s="176" t="s">
        <v>707</v>
      </c>
      <c r="G34" s="177" t="s">
        <v>708</v>
      </c>
    </row>
    <row r="35" spans="1:7" x14ac:dyDescent="0.2">
      <c r="A35" s="16" t="s">
        <v>704</v>
      </c>
      <c r="C35" s="178">
        <v>1</v>
      </c>
      <c r="E35" s="16" t="s">
        <v>789</v>
      </c>
      <c r="F35" s="242">
        <v>1</v>
      </c>
      <c r="G35" s="254">
        <v>1</v>
      </c>
    </row>
    <row r="36" spans="1:7" x14ac:dyDescent="0.2">
      <c r="A36" s="16" t="s">
        <v>705</v>
      </c>
      <c r="C36" s="178">
        <v>1</v>
      </c>
      <c r="E36" s="16" t="s">
        <v>815</v>
      </c>
      <c r="F36" s="242">
        <v>1</v>
      </c>
      <c r="G36" s="254">
        <v>1</v>
      </c>
    </row>
    <row r="37" spans="1:7" x14ac:dyDescent="0.2">
      <c r="A37" s="16" t="s">
        <v>706</v>
      </c>
      <c r="C37" s="178">
        <v>1</v>
      </c>
      <c r="E37" s="16" t="s">
        <v>664</v>
      </c>
      <c r="F37" s="179"/>
      <c r="G37" s="254">
        <v>0</v>
      </c>
    </row>
    <row r="38" spans="1:7" x14ac:dyDescent="0.2">
      <c r="C38" s="197"/>
      <c r="E38" s="16" t="s">
        <v>144</v>
      </c>
      <c r="F38" s="184">
        <f>F9/F31</f>
        <v>0.61538461538461542</v>
      </c>
      <c r="G38" s="19">
        <f>G9/G31</f>
        <v>0.61536669008547007</v>
      </c>
    </row>
    <row r="39" spans="1:7" x14ac:dyDescent="0.2">
      <c r="A39" s="238" t="s">
        <v>788</v>
      </c>
      <c r="B39" s="239"/>
      <c r="C39" s="240">
        <v>0</v>
      </c>
      <c r="E39" s="16" t="s">
        <v>151</v>
      </c>
      <c r="F39" s="184">
        <f>SUM(F11,F12,F16,F18,F20)/F31</f>
        <v>0.38461538461538464</v>
      </c>
      <c r="G39" s="19">
        <f>SUM(G13,G16,G18,G20)/G31</f>
        <v>0.38463330991452993</v>
      </c>
    </row>
    <row r="40" spans="1:7" x14ac:dyDescent="0.2">
      <c r="A40" s="241" t="s">
        <v>690</v>
      </c>
      <c r="B40" s="54"/>
      <c r="C40" s="242">
        <v>0</v>
      </c>
      <c r="E40" s="16" t="s">
        <v>783</v>
      </c>
      <c r="F40" s="223">
        <f>SUM(B25,B27,B29)/SUM(F16,F18,F20)</f>
        <v>1</v>
      </c>
      <c r="G40" s="224">
        <f>SUM(C25,C27,C29)/SUM(G16,G18,G20)</f>
        <v>1</v>
      </c>
    </row>
    <row r="41" spans="1:7" x14ac:dyDescent="0.2">
      <c r="A41" s="241" t="s">
        <v>207</v>
      </c>
      <c r="B41" s="54"/>
      <c r="C41" s="242">
        <v>0</v>
      </c>
      <c r="E41" s="16" t="s">
        <v>80</v>
      </c>
      <c r="F41" s="184">
        <f>SUM(F13,F16,F18,F20,-B16,-B25,-B27,-B29)/F35</f>
        <v>1</v>
      </c>
      <c r="G41" s="19">
        <f>SUM(G13,G16,G18,G20,-C16,-C25,-C27,-C29)/G35</f>
        <v>1.0002330288888892</v>
      </c>
    </row>
    <row r="42" spans="1:7" x14ac:dyDescent="0.2">
      <c r="A42" s="241" t="s">
        <v>208</v>
      </c>
      <c r="B42" s="54"/>
      <c r="C42" s="242">
        <v>0</v>
      </c>
      <c r="E42" s="16" t="s">
        <v>142</v>
      </c>
      <c r="F42" s="184">
        <f>$B$14/$F$35</f>
        <v>2</v>
      </c>
      <c r="G42" s="19">
        <f>$C$14/$G$35</f>
        <v>2</v>
      </c>
    </row>
    <row r="43" spans="1:7" x14ac:dyDescent="0.2">
      <c r="A43" s="241" t="s">
        <v>739</v>
      </c>
      <c r="B43" s="54"/>
      <c r="C43" s="242">
        <v>0</v>
      </c>
      <c r="E43" s="16" t="s">
        <v>143</v>
      </c>
      <c r="F43" s="184">
        <f>$B$23/$F$35</f>
        <v>3</v>
      </c>
      <c r="G43" s="19">
        <f>$C$23/$G$35</f>
        <v>3</v>
      </c>
    </row>
    <row r="44" spans="1:7" x14ac:dyDescent="0.2">
      <c r="A44" s="241" t="s">
        <v>818</v>
      </c>
      <c r="B44" s="54"/>
      <c r="C44" s="242">
        <v>-1</v>
      </c>
      <c r="E44" s="16" t="s">
        <v>784</v>
      </c>
      <c r="F44" s="80"/>
      <c r="G44" s="225">
        <f>SUM(Macrogegevens!T5,Macrogegevens!U5)/G36</f>
        <v>4.6372748888888898E-2</v>
      </c>
    </row>
    <row r="45" spans="1:7" x14ac:dyDescent="0.2">
      <c r="A45" s="243" t="s">
        <v>663</v>
      </c>
      <c r="B45" s="76"/>
      <c r="C45" s="244">
        <v>0</v>
      </c>
      <c r="E45" s="16" t="s">
        <v>817</v>
      </c>
      <c r="F45" s="80"/>
      <c r="G45" s="72">
        <f>SUM(-G13,F13,-G16,F16,-G18,F18,-G20,F20,C10,-B10,C14,-B14,C16,-B16,C25,-B25,C27,-B27,C29,-B29,-C40)</f>
        <v>-2.3302888888920847E-4</v>
      </c>
    </row>
    <row r="46" spans="1:7" x14ac:dyDescent="0.2">
      <c r="C46" s="5"/>
    </row>
  </sheetData>
  <sheetProtection password="ABC0" sheet="1" scenarios="1" selectLockedCells="1"/>
  <dataValidations xWindow="437" yWindow="586" count="16">
    <dataValidation allowBlank="1" showInputMessage="1" showErrorMessage="1" promptTitle="Afschrijvingskosten" prompt="Vul de afschrijvingskosten van het lopende boekjaar op de immateriele activa in. Dit inclusief de afschrijvingskosten die worden gedekt uit bestemmingsreserves.    " sqref="C35"/>
    <dataValidation allowBlank="1" showInputMessage="1" showErrorMessage="1" promptTitle="Afschrijvingskosten" prompt="Vul de afschrijvingskosten van het lopende boekjaar op materiele activa in. Dit inclusief de afschrijvingskosten die worden gedekt uit bestemmingsreserves." sqref="C36"/>
    <dataValidation allowBlank="1" showInputMessage="1" showErrorMessage="1" promptTitle="Afschrijvingskosten" prompt="Vul de afschrijvingskosten van het lopende boekjaar op bijdragen aan activa van derden in. Dit inclusief afschrijvingskosten die worden gedekt uit bestemmingsreserves." sqref="C37"/>
    <dataValidation allowBlank="1" showInputMessage="1" showErrorMessage="1" promptTitle="Boekwinst / boekverlies" prompt="Vul de boekwinst of het boekverlies in die is behaald bij de verkoop van materiele vaste activa. Vul bij winst een positief getal in en bij verlies een negatief getal in.      " sqref="C39"/>
    <dataValidation allowBlank="1" showInputMessage="1" showErrorMessage="1" promptTitle="Boekwinst / boekverlies" prompt="Vul de boekwinst of het boekverlies in die is behaald bij de verkoop, het afstoten of liquideren van deelnemingen. Vul bij winst een positief getal en bij verlies een negatief getal in." sqref="C40"/>
    <dataValidation type="whole" operator="greaterThanOrEqual" allowBlank="1" showInputMessage="1" showErrorMessage="1" errorTitle="Foutieve invoer" error="U hebt een negatief bedrag ingevuld." promptTitle="Nieuw verstrekte leningen " prompt="Vul het bedrag (positief) in van het verstrekken van nieuwe leningen aan verbonden partijen in 2015. Aflossingen op oude leningen moeten op het blad Investeringen &amp; financiering worden ingevuld.  " sqref="C41">
      <formula1>0</formula1>
    </dataValidation>
    <dataValidation type="whole" operator="greaterThanOrEqual" allowBlank="1" showInputMessage="1" showErrorMessage="1" errorTitle="Foutieve invoer" error="U hebt een negatief bedrag ingevuld." promptTitle="Verstrekken nieuwe leningen" prompt="Vul het bedrag in (positief) van het verstrekken van nieuwe leningen aan derden in het jaar 2015. Aflossingen op leningen aan derden moeten op het blad Investeringen &amp; financiering worden ingevuld." sqref="C42">
      <formula1>0</formula1>
    </dataValidation>
    <dataValidation type="whole" operator="greaterThanOrEqual" allowBlank="1" showInputMessage="1" showErrorMessage="1" errorTitle="Foutieve invoer" error="U hebt een negatief bedrag ingevuld." promptTitle="Nieuwe langlopende uitzettingen" prompt="Vul het bedrag (positief) aan nieuwe langlopende uitzettingen in die in 2015 worden geplaatst. Hieronder vallen ook langlopende uitzettingen bij de schatkist.     " sqref="C43">
      <formula1>0</formula1>
    </dataValidation>
    <dataValidation allowBlank="1" showInputMessage="1" showErrorMessage="1" promptTitle="EMU-saldo" prompt="Rood is EMU-tekort" sqref="G45"/>
    <dataValidation type="whole" operator="lessThanOrEqual" allowBlank="1" showInputMessage="1" showErrorMessage="1" errorTitle="Foutieve invoer" error="U hebt een positief bedrag ingevuld" promptTitle="Voorraad grond eindbalans" prompt="Voer eerst de investeringen grondexploitatie in op blad Investeringen &amp; financiering. Voer er na op deze plek het bedrag (negatief) in voor afname bouwgrond NIEG door overboeking naar onderhanden werk of door verkoop. " sqref="C44">
      <formula1>0</formula1>
    </dataValidation>
    <dataValidation allowBlank="1" showInputMessage="1" showErrorMessage="1" promptTitle="Mutatie onderhanden werk" prompt="Vul de toename (positief) of afname (negatief) van het onderhanden werk in door overboeking bouwgrond NIEG, bruto-investering grondexploitatie en afboeking kostprijs verkopen bouwgrond in 2015." sqref="C45"/>
    <dataValidation allowBlank="1" showInputMessage="1" showErrorMessage="1" promptTitle="Mutatie voorzieningen" prompt="Voer het bedrag is waarmee de voorzieningen in 2015 toenemen (positief bedrag) of afnemen (negatief bedrag)." sqref="G37"/>
    <dataValidation allowBlank="1" showInputMessage="1" showErrorMessage="1" promptTitle="Baten voor bestemming 2014" prompt="Vul de baten voor bestemming reserves in uit de jaarrekeing 2014. Neem hiervoor de baten inclusief de opbrengst uit de verkopen grondexploitatie.    " sqref="F35"/>
    <dataValidation allowBlank="1" showInputMessage="1" showErrorMessage="1" promptTitle="Baten voor bestemming 2015 " prompt="Vul de baten voor bestemming reserves in die voor het jaar 2015 zijn begroot. Neem hiervoor de baten inclusief de opbrengst uit de verkopen bouwgrondexploitatie.  " sqref="G35"/>
    <dataValidation allowBlank="1" showInputMessage="1" showErrorMessage="1" promptTitle="Lasten voor bestemming reserves" prompt="Vul de lasten voor bestemming reserves in uit de jaarrekening 2014. Neem de lasten inclusief de kostprijs verkopen bouwgrondexploitatie.  " sqref="F36"/>
    <dataValidation allowBlank="1" showInputMessage="1" showErrorMessage="1" promptTitle="Lasten voor bestemming 2015" prompt="Vul de lasten voor bestemming reserves in die voor het jaar 2015 zijn begroot. Neem hiervoor de lasten inclusief de kostprijs verkopen grondexploitatie.   " sqref="G36"/>
  </dataValidations>
  <pageMargins left="0.7" right="0.7" top="0.75" bottom="0.75" header="0.3" footer="0.3"/>
  <pageSetup paperSize="9"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74"/>
  <sheetViews>
    <sheetView showGridLines="0" zoomScale="85" zoomScaleNormal="85" workbookViewId="0">
      <selection activeCell="C6" sqref="C6"/>
    </sheetView>
  </sheetViews>
  <sheetFormatPr defaultColWidth="9.140625" defaultRowHeight="12.75" x14ac:dyDescent="0.2"/>
  <cols>
    <col min="1" max="1" width="3" style="16" customWidth="1"/>
    <col min="2" max="2" width="37.7109375" style="16" bestFit="1" customWidth="1"/>
    <col min="3" max="3" width="34.140625" style="16" bestFit="1" customWidth="1"/>
    <col min="4" max="4" width="31" style="16" bestFit="1" customWidth="1"/>
    <col min="5" max="5" width="27" style="16" bestFit="1" customWidth="1"/>
    <col min="6" max="6" width="37.42578125" style="16" bestFit="1" customWidth="1"/>
    <col min="7" max="7" width="32.140625" style="16" bestFit="1" customWidth="1"/>
    <col min="8" max="8" width="26.7109375" style="16" customWidth="1"/>
    <col min="9" max="9" width="24.42578125" style="16" customWidth="1"/>
    <col min="10" max="10" width="24.5703125" style="16" customWidth="1"/>
    <col min="11" max="11" width="22.28515625" style="16" customWidth="1"/>
    <col min="12" max="12" width="21.85546875" style="16" customWidth="1"/>
    <col min="13" max="13" width="19.7109375" style="16" customWidth="1"/>
    <col min="14" max="14" width="22.28515625" style="3" hidden="1" customWidth="1"/>
    <col min="15" max="15" width="20.5703125" style="3" hidden="1" customWidth="1"/>
    <col min="16" max="17" width="17" style="3" hidden="1" customWidth="1"/>
    <col min="18" max="18" width="20" style="3" hidden="1" customWidth="1"/>
    <col min="19" max="19" width="28.5703125" style="3" hidden="1" customWidth="1"/>
    <col min="20" max="20" width="25.7109375" style="3" hidden="1" customWidth="1"/>
    <col min="21" max="21" width="22.7109375" style="3" hidden="1" customWidth="1"/>
    <col min="22" max="22" width="38.7109375" style="3" hidden="1" customWidth="1"/>
    <col min="23" max="23" width="12.42578125" style="16" hidden="1" customWidth="1"/>
    <col min="24" max="24" width="8.42578125" style="16" hidden="1" customWidth="1"/>
    <col min="25" max="25" width="10.28515625" style="16" hidden="1" customWidth="1"/>
    <col min="26" max="26" width="23" style="16" hidden="1" customWidth="1"/>
    <col min="27" max="27" width="22.140625" style="16" hidden="1" customWidth="1"/>
    <col min="28" max="28" width="15" style="16" hidden="1" customWidth="1"/>
    <col min="29" max="29" width="9.140625" style="16" hidden="1" customWidth="1"/>
    <col min="30" max="16384" width="9.140625" style="16"/>
  </cols>
  <sheetData>
    <row r="1" spans="1:28" x14ac:dyDescent="0.2">
      <c r="A1" s="256" t="s">
        <v>172</v>
      </c>
      <c r="B1" s="256"/>
      <c r="C1" s="66">
        <f>Macrogegevens!C1</f>
        <v>2015</v>
      </c>
      <c r="H1" s="53"/>
      <c r="J1" s="53"/>
      <c r="K1" s="53"/>
      <c r="L1" s="53"/>
      <c r="N1" s="16"/>
      <c r="O1" s="2" t="s">
        <v>82</v>
      </c>
      <c r="R1" s="2" t="s">
        <v>83</v>
      </c>
      <c r="U1" s="2" t="s">
        <v>0</v>
      </c>
      <c r="V1" s="2"/>
      <c r="W1" s="2" t="s">
        <v>58</v>
      </c>
      <c r="X1" s="3"/>
      <c r="Y1" s="90" t="s">
        <v>210</v>
      </c>
      <c r="Z1" s="16" t="s">
        <v>209</v>
      </c>
      <c r="AA1" s="16" t="s">
        <v>212</v>
      </c>
      <c r="AB1" s="16" t="s">
        <v>211</v>
      </c>
    </row>
    <row r="2" spans="1:28" x14ac:dyDescent="0.2">
      <c r="A2" s="52" t="s">
        <v>164</v>
      </c>
      <c r="C2" s="16" t="s">
        <v>813</v>
      </c>
      <c r="D2" s="16" t="s">
        <v>78</v>
      </c>
      <c r="E2" s="16" t="s">
        <v>31</v>
      </c>
      <c r="F2" s="16" t="s">
        <v>677</v>
      </c>
      <c r="G2" s="16" t="s">
        <v>30</v>
      </c>
      <c r="H2" s="5"/>
      <c r="I2" s="10"/>
      <c r="K2" s="19"/>
      <c r="L2" s="10"/>
      <c r="M2" s="10"/>
      <c r="N2" s="10" t="s">
        <v>816</v>
      </c>
      <c r="O2" s="3" t="s">
        <v>55</v>
      </c>
      <c r="P2" s="3" t="s">
        <v>56</v>
      </c>
      <c r="Q2" s="3" t="s">
        <v>85</v>
      </c>
      <c r="R2" s="3" t="s">
        <v>69</v>
      </c>
      <c r="S2" s="3" t="s">
        <v>56</v>
      </c>
      <c r="T2" s="3" t="s">
        <v>160</v>
      </c>
      <c r="U2" s="3" t="s">
        <v>1</v>
      </c>
      <c r="W2" s="8">
        <f>Macrogegevens!C4</f>
        <v>0.01</v>
      </c>
      <c r="X2" s="8">
        <f>SUM(1,W2)</f>
        <v>1.01</v>
      </c>
      <c r="Y2" s="16">
        <v>1991</v>
      </c>
      <c r="Z2" s="27">
        <v>8.7400000000000005E-2</v>
      </c>
      <c r="AA2" s="27">
        <f>SUM(Z2,0.4%)</f>
        <v>9.1400000000000009E-2</v>
      </c>
      <c r="AB2" s="27">
        <f>SUM(AA2,0.2%)</f>
        <v>9.3400000000000011E-2</v>
      </c>
    </row>
    <row r="3" spans="1:28" x14ac:dyDescent="0.2">
      <c r="B3" s="17" t="s">
        <v>711</v>
      </c>
      <c r="C3" s="9">
        <f>Balansprognose!B8</f>
        <v>2</v>
      </c>
      <c r="D3" s="9">
        <f>SUM(Balansprognose!B20,Balansprognose!B21)</f>
        <v>2</v>
      </c>
      <c r="E3" s="9">
        <f>Balansprognose!B22</f>
        <v>1</v>
      </c>
      <c r="F3" s="49">
        <f>Balansprognose!B18</f>
        <v>1</v>
      </c>
      <c r="G3" s="9">
        <f>Balansprognose!B10</f>
        <v>1</v>
      </c>
      <c r="H3" s="5"/>
      <c r="I3" s="10"/>
      <c r="K3" s="19"/>
      <c r="L3" s="10"/>
      <c r="M3" s="10"/>
      <c r="N3" s="10"/>
      <c r="O3" s="14"/>
      <c r="U3" s="3" t="s">
        <v>2</v>
      </c>
      <c r="W3" s="8">
        <f>Macrogegevens!C6</f>
        <v>1.4999999999999999E-2</v>
      </c>
      <c r="X3" s="3"/>
      <c r="Y3" s="16">
        <v>1992</v>
      </c>
      <c r="Z3" s="27">
        <v>8.1000000000000003E-2</v>
      </c>
      <c r="AA3" s="27">
        <f t="shared" ref="AA3:AA25" si="0">SUM(Z3,0.4%)</f>
        <v>8.5000000000000006E-2</v>
      </c>
      <c r="AB3" s="27">
        <f t="shared" ref="AB3:AB25" si="1">SUM(AA3,0.2%)</f>
        <v>8.7000000000000008E-2</v>
      </c>
    </row>
    <row r="4" spans="1:28" x14ac:dyDescent="0.2">
      <c r="B4" s="17" t="s">
        <v>660</v>
      </c>
      <c r="C4" s="20">
        <f>VLOOKUP(Macrogegevens!C2,'Data macrogegevens'!A2:L395,11,0)/SUM(C3,F3)</f>
        <v>1045625.5756560001</v>
      </c>
      <c r="D4" s="18"/>
      <c r="E4" s="18"/>
      <c r="F4" s="18"/>
      <c r="G4" s="18"/>
      <c r="K4" s="19"/>
      <c r="L4" s="19"/>
      <c r="N4" s="16"/>
      <c r="O4" s="14"/>
      <c r="U4" s="3" t="s">
        <v>3</v>
      </c>
      <c r="W4" s="8">
        <f>Macrogegevens!C7</f>
        <v>1.7500000000000002E-2</v>
      </c>
      <c r="X4" s="3"/>
      <c r="Y4" s="16">
        <v>1993</v>
      </c>
      <c r="Z4" s="27">
        <v>6.3500000000000001E-2</v>
      </c>
      <c r="AA4" s="27">
        <f t="shared" si="0"/>
        <v>6.7500000000000004E-2</v>
      </c>
      <c r="AB4" s="27">
        <f t="shared" si="1"/>
        <v>6.9500000000000006E-2</v>
      </c>
    </row>
    <row r="5" spans="1:28" x14ac:dyDescent="0.2">
      <c r="B5" s="17" t="s">
        <v>661</v>
      </c>
      <c r="C5" s="20">
        <f>SUM(Balansprognose!C35,Balansprognose!C36)/C3</f>
        <v>1</v>
      </c>
      <c r="D5" s="18"/>
      <c r="E5" s="18"/>
      <c r="F5" s="20">
        <f>Balansprognose!C37/'Investeringen &amp; financiering'!F3</f>
        <v>1</v>
      </c>
      <c r="G5" s="18"/>
      <c r="J5" s="3"/>
      <c r="K5" s="7"/>
      <c r="L5" s="7"/>
      <c r="N5" s="16"/>
      <c r="O5" s="14"/>
      <c r="U5" s="3" t="s">
        <v>19</v>
      </c>
      <c r="W5" s="8">
        <f>Macrogegevens!C8</f>
        <v>3.2000000000000002E-3</v>
      </c>
      <c r="X5" s="3"/>
      <c r="Y5" s="16">
        <v>1994</v>
      </c>
      <c r="Z5" s="27">
        <v>6.8699999999999997E-2</v>
      </c>
      <c r="AA5" s="27">
        <f t="shared" si="0"/>
        <v>7.2700000000000001E-2</v>
      </c>
      <c r="AB5" s="27">
        <f t="shared" si="1"/>
        <v>7.4700000000000003E-2</v>
      </c>
    </row>
    <row r="6" spans="1:28" x14ac:dyDescent="0.2">
      <c r="B6" s="16" t="s">
        <v>37</v>
      </c>
      <c r="C6" s="168">
        <v>-3</v>
      </c>
      <c r="D6" s="168">
        <v>-1</v>
      </c>
      <c r="E6" s="168">
        <v>0</v>
      </c>
      <c r="F6" s="168">
        <v>0</v>
      </c>
      <c r="G6" s="168">
        <v>0</v>
      </c>
      <c r="K6" s="19"/>
      <c r="L6" s="19"/>
      <c r="N6" s="16"/>
      <c r="O6" s="24">
        <f>SUM(C6:G7)</f>
        <v>-3</v>
      </c>
      <c r="P6" s="24">
        <f>W10*0.5*O6</f>
        <v>-1.4999999999999999E-2</v>
      </c>
      <c r="Q6" s="24">
        <f>SUM(O6:P6)</f>
        <v>-3.0150000000000001</v>
      </c>
      <c r="R6" s="24">
        <f>SUM(C6:G7)</f>
        <v>-3</v>
      </c>
      <c r="S6" s="24">
        <f>W10*R6*0.5</f>
        <v>-1.4999999999999999E-2</v>
      </c>
      <c r="T6" s="24">
        <f>SUM(R6:S6)</f>
        <v>-3.0150000000000001</v>
      </c>
      <c r="U6" s="3" t="s">
        <v>28</v>
      </c>
      <c r="W6" s="8">
        <f>Macrogegevens!C9</f>
        <v>-3.830034690890132E-3</v>
      </c>
      <c r="X6" s="3"/>
      <c r="Y6" s="16">
        <v>1995</v>
      </c>
      <c r="Z6" s="27">
        <v>6.9000000000000006E-2</v>
      </c>
      <c r="AA6" s="27">
        <f t="shared" si="0"/>
        <v>7.3000000000000009E-2</v>
      </c>
      <c r="AB6" s="27">
        <f t="shared" si="1"/>
        <v>7.5000000000000011E-2</v>
      </c>
    </row>
    <row r="7" spans="1:28" x14ac:dyDescent="0.2">
      <c r="B7" s="16" t="s">
        <v>70</v>
      </c>
      <c r="C7" s="94">
        <v>0</v>
      </c>
      <c r="D7" s="169">
        <v>1</v>
      </c>
      <c r="E7" s="18"/>
      <c r="F7" s="9"/>
      <c r="G7" s="13">
        <v>0</v>
      </c>
      <c r="L7" s="19"/>
      <c r="N7" s="65">
        <f>SUM(C7:G7)</f>
        <v>1</v>
      </c>
      <c r="O7" s="24"/>
      <c r="P7" s="24"/>
      <c r="Q7" s="24"/>
      <c r="R7" s="24"/>
      <c r="S7" s="24"/>
      <c r="T7" s="24"/>
      <c r="U7" s="3" t="s">
        <v>42</v>
      </c>
      <c r="W7" s="8">
        <f>Macrogegevens!C11</f>
        <v>1.4E-2</v>
      </c>
      <c r="X7" s="3"/>
      <c r="Y7" s="16">
        <v>1996</v>
      </c>
      <c r="Z7" s="27">
        <v>6.1499999999999999E-2</v>
      </c>
      <c r="AA7" s="27">
        <f t="shared" si="0"/>
        <v>6.5500000000000003E-2</v>
      </c>
      <c r="AB7" s="27">
        <f t="shared" si="1"/>
        <v>6.7500000000000004E-2</v>
      </c>
    </row>
    <row r="8" spans="1:28" x14ac:dyDescent="0.2">
      <c r="B8" s="16" t="s">
        <v>187</v>
      </c>
      <c r="C8" s="50">
        <f>(-(C4*C3)*SUM(X2,W6)^1)*X24</f>
        <v>-2104154.0983682312</v>
      </c>
      <c r="D8" s="50">
        <f>-VLOOKUP(Macrogegevens!$C$2,'Data bouwgrond'!$A$1:$M$395,13,0)*1000</f>
        <v>-8470200</v>
      </c>
      <c r="E8" s="50">
        <f>-SUM((E3*SUM(X2,W6)^2),-E3)</f>
        <v>-1.2377999090135372E-2</v>
      </c>
      <c r="F8" s="50"/>
      <c r="G8" s="50"/>
      <c r="L8" s="19"/>
      <c r="N8" s="16"/>
      <c r="O8" s="24">
        <f>SUM(C8:G9)</f>
        <v>-4838654.1107462309</v>
      </c>
      <c r="P8" s="24">
        <f>SUM(Q6,0.5*O8)*W10</f>
        <v>-24193.300703731158</v>
      </c>
      <c r="Q8" s="24">
        <f>SUM(O8:P8)</f>
        <v>-4862847.4114499623</v>
      </c>
      <c r="R8" s="24">
        <f>SUM(C8:G9)</f>
        <v>-4838654.1107462309</v>
      </c>
      <c r="S8" s="24">
        <f>SUM(W10*T6,SUM(W10,W21)*R8*0.5)</f>
        <v>-48386.57125746231</v>
      </c>
      <c r="T8" s="24">
        <f>SUM(R8:S8)</f>
        <v>-4887040.6820036937</v>
      </c>
      <c r="U8" s="3" t="s">
        <v>52</v>
      </c>
      <c r="W8" s="8">
        <f>Macrogegevens!C12</f>
        <v>1E-3</v>
      </c>
      <c r="X8" s="3"/>
      <c r="Y8" s="16">
        <v>1997</v>
      </c>
      <c r="Z8" s="27">
        <v>5.5800000000000002E-2</v>
      </c>
      <c r="AA8" s="27">
        <f t="shared" si="0"/>
        <v>5.9800000000000006E-2</v>
      </c>
      <c r="AB8" s="27">
        <f t="shared" si="1"/>
        <v>6.1800000000000008E-2</v>
      </c>
    </row>
    <row r="9" spans="1:28" x14ac:dyDescent="0.2">
      <c r="B9" s="16" t="s">
        <v>71</v>
      </c>
      <c r="C9" s="9"/>
      <c r="D9" s="49">
        <f>VLOOKUP(Macrogegevens!$C$2,'Data bouwgrond'!$A$1:$M$395,12,0)*X15*1000</f>
        <v>5735700</v>
      </c>
      <c r="E9" s="18"/>
      <c r="F9" s="9"/>
      <c r="G9" s="9"/>
      <c r="N9" s="65">
        <f>SUM(C9:G9)</f>
        <v>5735700</v>
      </c>
      <c r="O9" s="24"/>
      <c r="P9" s="24"/>
      <c r="Q9" s="24"/>
      <c r="R9" s="24"/>
      <c r="S9" s="24"/>
      <c r="T9" s="24"/>
      <c r="U9" s="3" t="s">
        <v>36</v>
      </c>
      <c r="W9" s="8">
        <f>Macrogegevens!C13</f>
        <v>4.4999999999999997E-3</v>
      </c>
      <c r="X9" s="3"/>
      <c r="Y9" s="16">
        <v>1998</v>
      </c>
      <c r="Z9" s="27">
        <v>4.6199999999999998E-2</v>
      </c>
      <c r="AA9" s="27">
        <f t="shared" si="0"/>
        <v>5.0199999999999995E-2</v>
      </c>
      <c r="AB9" s="27">
        <f t="shared" si="1"/>
        <v>5.2199999999999996E-2</v>
      </c>
    </row>
    <row r="10" spans="1:28" x14ac:dyDescent="0.2">
      <c r="B10" s="16" t="s">
        <v>712</v>
      </c>
      <c r="C10" s="50">
        <f>(-(C4*C3)*SUM(X2,W6)^2)*X24</f>
        <v>-2117136.6561601846</v>
      </c>
      <c r="D10" s="91">
        <f>-VLOOKUP(Macrogegevens!$C$2,'Data bouwgrond'!$A$1:$M$395,13,0)*1000</f>
        <v>-8470200</v>
      </c>
      <c r="E10" s="50">
        <f>-SUM((E3*SUM(X2,W6)^3),-E3)</f>
        <v>-1.8624336224227545E-2</v>
      </c>
      <c r="F10" s="50"/>
      <c r="G10" s="48"/>
      <c r="N10" s="16"/>
      <c r="O10" s="24">
        <f>SUM(C10:G11)</f>
        <v>-4851636.6747845206</v>
      </c>
      <c r="P10" s="24">
        <f>SUM(Q6,Q8,0.5*O10)*W10</f>
        <v>-72886.687638422227</v>
      </c>
      <c r="Q10" s="24">
        <f>SUM(O10:P10)</f>
        <v>-4924523.3624229431</v>
      </c>
      <c r="R10" s="24">
        <f>SUM(C10:G11)</f>
        <v>-4851636.6747845206</v>
      </c>
      <c r="S10" s="24">
        <f>SUM(W10*T6,SUM(W10,W21)*T8,SUM(W10,W22)*R10*0.5)</f>
        <v>-170515.39391184167</v>
      </c>
      <c r="T10" s="24">
        <f>SUM(R10:S10)</f>
        <v>-5022152.068696362</v>
      </c>
      <c r="U10" s="3" t="s">
        <v>29</v>
      </c>
      <c r="W10" s="8">
        <f>Macrogegevens!C14</f>
        <v>0.01</v>
      </c>
      <c r="X10" s="3"/>
      <c r="Y10" s="16">
        <v>1999</v>
      </c>
      <c r="Z10" s="27">
        <v>4.65E-2</v>
      </c>
      <c r="AA10" s="27">
        <f t="shared" si="0"/>
        <v>5.0500000000000003E-2</v>
      </c>
      <c r="AB10" s="27">
        <f t="shared" si="1"/>
        <v>5.2500000000000005E-2</v>
      </c>
    </row>
    <row r="11" spans="1:28" x14ac:dyDescent="0.2">
      <c r="B11" s="16" t="s">
        <v>72</v>
      </c>
      <c r="C11" s="18"/>
      <c r="D11" s="49">
        <f>VLOOKUP(Macrogegevens!$C$2,'Data bouwgrond'!$A$1:$M$395,12,0)*X16*1000</f>
        <v>5735700</v>
      </c>
      <c r="E11" s="18"/>
      <c r="F11" s="9"/>
      <c r="G11" s="9"/>
      <c r="N11" s="65">
        <f>SUM(C11:G11)</f>
        <v>5735700</v>
      </c>
      <c r="O11" s="24"/>
      <c r="P11" s="24"/>
      <c r="Q11" s="24"/>
      <c r="R11" s="24"/>
      <c r="S11" s="24"/>
      <c r="T11" s="24"/>
      <c r="U11" s="3" t="s">
        <v>662</v>
      </c>
      <c r="W11" s="8">
        <f>IF(C4&gt;C5,C4,C5)</f>
        <v>1045625.5756560001</v>
      </c>
      <c r="X11" s="3"/>
      <c r="Y11" s="16">
        <v>2000</v>
      </c>
      <c r="Z11" s="27">
        <v>5.4100000000000002E-2</v>
      </c>
      <c r="AA11" s="27">
        <f t="shared" si="0"/>
        <v>5.8099999999999999E-2</v>
      </c>
      <c r="AB11" s="27">
        <f t="shared" si="1"/>
        <v>6.0100000000000001E-2</v>
      </c>
    </row>
    <row r="12" spans="1:28" x14ac:dyDescent="0.2">
      <c r="B12" s="16" t="s">
        <v>713</v>
      </c>
      <c r="C12" s="50">
        <f>(-(C4*C3)*SUM(X2,W6)^3)*X24</f>
        <v>-2130199.315883338</v>
      </c>
      <c r="D12" s="91">
        <f>-VLOOKUP(Macrogegevens!$C$2,'Data bouwgrond'!$A$1:$M$395,13,0)*1000</f>
        <v>-8470200</v>
      </c>
      <c r="E12" s="50">
        <f>-SUM((E3*SUM(X2,W6)^4),-E3)</f>
        <v>-2.4909213041746092E-2</v>
      </c>
      <c r="F12" s="50"/>
      <c r="G12" s="48"/>
      <c r="N12" s="16"/>
      <c r="O12" s="24">
        <f>SUM(C12:F13)</f>
        <v>-4864699.3407925516</v>
      </c>
      <c r="P12" s="24">
        <f>SUM(Q6,Q8,Q10,0.5*O12)*W10</f>
        <v>-122197.23459269181</v>
      </c>
      <c r="Q12" s="24">
        <f>SUM(O12:P12)</f>
        <v>-4986896.5753852436</v>
      </c>
      <c r="R12" s="24">
        <f>SUM(C12:F13)</f>
        <v>-4864699.3407925516</v>
      </c>
      <c r="S12" s="24">
        <f>SUM(W10*T6,SUM(W10,W21)*T8,SUM(W10,W22)*T10,SUM(W10,W23)*R12*0.5)</f>
        <v>-345699.39266681578</v>
      </c>
      <c r="T12" s="24">
        <f>SUM(R12:S12)</f>
        <v>-5210398.7334593674</v>
      </c>
      <c r="W12" s="3"/>
      <c r="X12" s="3"/>
      <c r="Y12" s="16">
        <v>2001</v>
      </c>
      <c r="Z12" s="27">
        <v>4.9599999999999998E-2</v>
      </c>
      <c r="AA12" s="27">
        <f t="shared" si="0"/>
        <v>5.3599999999999995E-2</v>
      </c>
      <c r="AB12" s="27">
        <f t="shared" si="1"/>
        <v>5.5599999999999997E-2</v>
      </c>
    </row>
    <row r="13" spans="1:28" x14ac:dyDescent="0.2">
      <c r="B13" s="16" t="s">
        <v>73</v>
      </c>
      <c r="C13" s="18"/>
      <c r="D13" s="49">
        <f>VLOOKUP(Macrogegevens!$C$2,'Data bouwgrond'!$A$1:$M$395,12,0)*X16*1000</f>
        <v>5735700</v>
      </c>
      <c r="E13" s="18"/>
      <c r="F13" s="9"/>
      <c r="G13" s="9"/>
      <c r="N13" s="65">
        <f>SUM(C13:G13)</f>
        <v>5735700</v>
      </c>
      <c r="O13" s="24"/>
      <c r="P13" s="24"/>
      <c r="Q13" s="24"/>
      <c r="R13" s="24"/>
      <c r="S13" s="24"/>
      <c r="T13" s="24"/>
      <c r="W13" s="3"/>
      <c r="X13" s="3"/>
      <c r="Y13" s="16">
        <v>2002</v>
      </c>
      <c r="Z13" s="27">
        <v>4.8899999999999999E-2</v>
      </c>
      <c r="AA13" s="27">
        <f t="shared" si="0"/>
        <v>5.2900000000000003E-2</v>
      </c>
      <c r="AB13" s="27">
        <f t="shared" si="1"/>
        <v>5.4900000000000004E-2</v>
      </c>
    </row>
    <row r="14" spans="1:28" x14ac:dyDescent="0.2">
      <c r="B14" s="16" t="s">
        <v>38</v>
      </c>
      <c r="C14" s="50">
        <f>(-(C4*C3)*SUM(X2,W6)^4)*X24</f>
        <v>-2143342.5717638275</v>
      </c>
      <c r="D14" s="50">
        <f>SUM(D8,D10,D12)/3</f>
        <v>-8470200</v>
      </c>
      <c r="E14" s="50">
        <f>-SUM((E3*SUM(X2,W6)^5),-E3)</f>
        <v>-3.1232867331200787E-2</v>
      </c>
      <c r="F14" s="23"/>
      <c r="G14" s="23"/>
      <c r="I14" s="53"/>
      <c r="J14" s="53"/>
      <c r="K14" s="53"/>
      <c r="L14" s="53"/>
      <c r="M14" s="53"/>
      <c r="N14" s="47"/>
      <c r="O14" s="24">
        <f>SUM(C14:F15)</f>
        <v>-3966342.6029966958</v>
      </c>
      <c r="P14" s="24">
        <f>SUM(Q6,Q8,Q10,Q12,0.5*O14)*W10</f>
        <v>-167574.41665756496</v>
      </c>
      <c r="Q14" s="24">
        <f>SUM(O14:P14)</f>
        <v>-4133917.0196542609</v>
      </c>
      <c r="R14" s="24">
        <f>SUM(C14:F15)</f>
        <v>-3966342.6029966958</v>
      </c>
      <c r="S14" s="24">
        <f>SUM(W10*T6,SUM(W10,W21)*T8,SUM(W10,W22)*T10,SUM(W10,W23)*SUM(T12,R14*0.5))</f>
        <v>-536148.20724927331</v>
      </c>
      <c r="T14" s="24">
        <f>SUM(R14:S14)</f>
        <v>-4502490.8102459693</v>
      </c>
      <c r="U14" s="2" t="s">
        <v>34</v>
      </c>
      <c r="V14" s="2"/>
      <c r="W14" s="2" t="s">
        <v>58</v>
      </c>
      <c r="X14" s="2"/>
      <c r="Y14" s="16">
        <v>2003</v>
      </c>
      <c r="Z14" s="27">
        <v>4.1200000000000001E-2</v>
      </c>
      <c r="AA14" s="27">
        <f t="shared" si="0"/>
        <v>4.5200000000000004E-2</v>
      </c>
      <c r="AB14" s="27">
        <f t="shared" si="1"/>
        <v>4.7200000000000006E-2</v>
      </c>
    </row>
    <row r="15" spans="1:28" x14ac:dyDescent="0.2">
      <c r="B15" s="16" t="s">
        <v>74</v>
      </c>
      <c r="C15" s="18"/>
      <c r="D15" s="18">
        <f>SUM(SUM(D9,D11,D13,)/3,1/3*V35)</f>
        <v>6647200</v>
      </c>
      <c r="E15" s="18"/>
      <c r="F15" s="18"/>
      <c r="G15" s="18"/>
      <c r="J15" s="19"/>
      <c r="K15" s="19"/>
      <c r="L15" s="19"/>
      <c r="M15" s="19"/>
      <c r="N15" s="65">
        <f>SUM(C15:G15)</f>
        <v>6647200</v>
      </c>
      <c r="O15" s="24"/>
      <c r="P15" s="24"/>
      <c r="Q15" s="24"/>
      <c r="R15" s="24"/>
      <c r="S15" s="24"/>
      <c r="T15" s="24"/>
      <c r="U15" s="3" t="s">
        <v>686</v>
      </c>
      <c r="W15" s="7">
        <f>Macrogegevens!G7</f>
        <v>0.1</v>
      </c>
      <c r="X15" s="7">
        <f>SUM(1,-W15)</f>
        <v>0.9</v>
      </c>
      <c r="Y15" s="16">
        <v>2004</v>
      </c>
      <c r="Z15" s="27">
        <v>4.0899999999999999E-2</v>
      </c>
      <c r="AA15" s="27">
        <f t="shared" si="0"/>
        <v>4.4899999999999995E-2</v>
      </c>
      <c r="AB15" s="27">
        <f t="shared" si="1"/>
        <v>4.6899999999999997E-2</v>
      </c>
    </row>
    <row r="16" spans="1:28" x14ac:dyDescent="0.2">
      <c r="B16" s="16" t="s">
        <v>39</v>
      </c>
      <c r="C16" s="50">
        <f>(-(C4*C3)*SUM(X2,W6)^5)*X24</f>
        <v>-2156566.9210771485</v>
      </c>
      <c r="D16" s="50">
        <f>SUM(D8,D10,D12)/3</f>
        <v>-8470200</v>
      </c>
      <c r="E16" s="50">
        <f>-SUM((E3*SUM(X2,W6)^6),-E3)</f>
        <v>-3.7595538348248247E-2</v>
      </c>
      <c r="F16" s="23"/>
      <c r="G16" s="23"/>
      <c r="J16" s="19"/>
      <c r="K16" s="19"/>
      <c r="L16" s="19"/>
      <c r="M16" s="19"/>
      <c r="N16" s="19"/>
      <c r="O16" s="24">
        <f>SUM(C16:F17)</f>
        <v>-3068066.9586726874</v>
      </c>
      <c r="P16" s="24">
        <f>SUM(Q6,Q8,Q10,Q12,Q14,0.5*O16)*W10</f>
        <v>-204422.20863248751</v>
      </c>
      <c r="Q16" s="24">
        <f>SUM(O16:P16)</f>
        <v>-3272489.1673051747</v>
      </c>
      <c r="R16" s="24">
        <f>SUM(C16:F17)</f>
        <v>-3068066.9586726874</v>
      </c>
      <c r="S16" s="24">
        <f>SUM(W10*T6,SUM(W10,W21)*T8,SUM(W10,W22)*T10,SUM(W10,W23)*SUM(T12,T14,R16*0.5))</f>
        <v>-698282.32677263196</v>
      </c>
      <c r="T16" s="24">
        <f>SUM(R16:S16)</f>
        <v>-3766349.2854453195</v>
      </c>
      <c r="U16" s="3" t="s">
        <v>687</v>
      </c>
      <c r="W16" s="7">
        <f>Macrogegevens!G8</f>
        <v>0.1</v>
      </c>
      <c r="X16" s="7">
        <f>SUM(1,-W16)</f>
        <v>0.9</v>
      </c>
      <c r="Y16" s="16">
        <v>2005</v>
      </c>
      <c r="Z16" s="27">
        <v>3.3700000000000001E-2</v>
      </c>
      <c r="AA16" s="27">
        <f t="shared" si="0"/>
        <v>3.7699999999999997E-2</v>
      </c>
      <c r="AB16" s="27">
        <f t="shared" si="1"/>
        <v>3.9699999999999999E-2</v>
      </c>
    </row>
    <row r="17" spans="1:28" x14ac:dyDescent="0.2">
      <c r="B17" s="16" t="s">
        <v>75</v>
      </c>
      <c r="C17" s="18"/>
      <c r="D17" s="18">
        <f>SUM(SUM(D9,D11,D13)/3,2/3*V35)</f>
        <v>7558700</v>
      </c>
      <c r="E17" s="18"/>
      <c r="F17" s="18"/>
      <c r="G17" s="18"/>
      <c r="J17" s="19"/>
      <c r="K17" s="19"/>
      <c r="L17" s="19"/>
      <c r="M17" s="19"/>
      <c r="N17" s="65">
        <f>SUM(C17:G17)</f>
        <v>7558700</v>
      </c>
      <c r="O17" s="24"/>
      <c r="P17" s="24"/>
      <c r="Q17" s="24"/>
      <c r="R17" s="24"/>
      <c r="S17" s="24"/>
      <c r="T17" s="24"/>
      <c r="W17" s="7"/>
      <c r="X17" s="7"/>
      <c r="Y17" s="16">
        <v>2006</v>
      </c>
      <c r="Z17" s="27">
        <v>3.78E-2</v>
      </c>
      <c r="AA17" s="27">
        <f t="shared" si="0"/>
        <v>4.1800000000000004E-2</v>
      </c>
      <c r="AB17" s="27">
        <f t="shared" si="1"/>
        <v>4.3800000000000006E-2</v>
      </c>
    </row>
    <row r="18" spans="1:28" x14ac:dyDescent="0.2">
      <c r="B18" s="16" t="s">
        <v>40</v>
      </c>
      <c r="C18" s="50">
        <f>(-(C4*C3)*SUM(X2,W6)^6)*X24</f>
        <v>-2169872.8641669685</v>
      </c>
      <c r="D18" s="50">
        <f>SUM(D8,D10,D12)/3</f>
        <v>-8470200</v>
      </c>
      <c r="E18" s="50">
        <f>-SUM((E3*SUM(X2,W6)^7),-E3)</f>
        <v>-4.3997466824744036E-2</v>
      </c>
      <c r="F18" s="23"/>
      <c r="G18" s="23"/>
      <c r="J18" s="7"/>
      <c r="K18" s="7"/>
      <c r="L18" s="7"/>
      <c r="M18" s="7"/>
      <c r="N18" s="16"/>
      <c r="O18" s="24">
        <f>SUM(C18:F19)</f>
        <v>-2169872.9081644341</v>
      </c>
      <c r="P18" s="24">
        <f>SUM(Q6,Q8,Q10,Q12,Q14,Q16,0.5*O18)*W10</f>
        <v>-232656.13005299799</v>
      </c>
      <c r="Q18" s="24">
        <f>SUM(O18:P18)</f>
        <v>-2402529.0382174323</v>
      </c>
      <c r="R18" s="24">
        <f>SUM(C18:F19)</f>
        <v>-2169872.9081644341</v>
      </c>
      <c r="S18" s="24">
        <f>SUM(W10*T6,SUM(W10,W21)*T8,SUM(W10,W22)*T10,SUM(W10,W23)*SUM(T12,T14,T16,R18*0.5))</f>
        <v>-830972.41718027962</v>
      </c>
      <c r="T18" s="24">
        <f>SUM(R18:S18)</f>
        <v>-3000845.3253447139</v>
      </c>
      <c r="W18" s="7"/>
      <c r="X18" s="7"/>
      <c r="Y18" s="16">
        <v>2007</v>
      </c>
      <c r="Z18" s="27">
        <v>4.2900000000000001E-2</v>
      </c>
      <c r="AA18" s="27">
        <f t="shared" si="0"/>
        <v>4.6899999999999997E-2</v>
      </c>
      <c r="AB18" s="27">
        <f t="shared" si="1"/>
        <v>4.8899999999999999E-2</v>
      </c>
    </row>
    <row r="19" spans="1:28" x14ac:dyDescent="0.2">
      <c r="B19" s="16" t="s">
        <v>76</v>
      </c>
      <c r="C19" s="18"/>
      <c r="D19" s="18">
        <f>SUM(SUM(D9,D11,D13)/3,V35)</f>
        <v>8470200</v>
      </c>
      <c r="E19" s="18"/>
      <c r="F19" s="18"/>
      <c r="G19" s="18"/>
      <c r="N19" s="65">
        <f>SUM(C19:G19)</f>
        <v>8470200</v>
      </c>
      <c r="O19" s="24"/>
      <c r="P19" s="24"/>
      <c r="Q19" s="24"/>
      <c r="R19" s="24"/>
      <c r="S19" s="24"/>
      <c r="T19" s="24"/>
      <c r="U19" s="3" t="s">
        <v>60</v>
      </c>
      <c r="W19" s="7">
        <f>Macrogegevens!G9</f>
        <v>0.1</v>
      </c>
      <c r="X19" s="7">
        <f>SUM(1,-W19)</f>
        <v>0.9</v>
      </c>
      <c r="Y19" s="16">
        <v>2008</v>
      </c>
      <c r="Z19" s="27">
        <v>4.2299999999999997E-2</v>
      </c>
      <c r="AA19" s="27">
        <f t="shared" si="0"/>
        <v>4.6299999999999994E-2</v>
      </c>
      <c r="AB19" s="27">
        <f t="shared" si="1"/>
        <v>4.8299999999999996E-2</v>
      </c>
    </row>
    <row r="20" spans="1:28" x14ac:dyDescent="0.2">
      <c r="B20" s="16" t="s">
        <v>41</v>
      </c>
      <c r="C20" s="50">
        <f>(-(C4*C3)*SUM(X2,W6)^7)*X24</f>
        <v>-2183260.9044640576</v>
      </c>
      <c r="D20" s="50">
        <f>SUM(D8,D10,D12)/3</f>
        <v>-8470200</v>
      </c>
      <c r="E20" s="50">
        <f>-SUM((E3*SUM(X2,W6)^8),-E3)</f>
        <v>-5.0438894977851367E-2</v>
      </c>
      <c r="F20" s="23"/>
      <c r="G20" s="23"/>
      <c r="N20" s="16"/>
      <c r="O20" s="24">
        <f>SUM(C20:F21)</f>
        <v>-2183260.9549029544</v>
      </c>
      <c r="P20" s="24">
        <f>SUM(Q6,Q8,Q10,Q12,Q14,Q16,Q18,0.5*O20)*W10</f>
        <v>-256748.36066886492</v>
      </c>
      <c r="Q20" s="24">
        <f>SUM(O20:P20)</f>
        <v>-2440009.3155718194</v>
      </c>
      <c r="R20" s="24">
        <f>SUM(C20:F21)</f>
        <v>-2183260.9549029544</v>
      </c>
      <c r="S20" s="24">
        <f>SUM(W10*T6,SUM(W10,W21)*T8,SUM(W10,W22)*T10,SUM(W10,W23)*SUM(T12,T14,T16,T18,R20*0.5))</f>
        <v>-951273.99112883862</v>
      </c>
      <c r="T20" s="24">
        <f>SUM(R20:S20)</f>
        <v>-3134534.946031793</v>
      </c>
      <c r="U20" s="3" t="s">
        <v>59</v>
      </c>
      <c r="W20" s="7">
        <f>Macrogegevens!G10</f>
        <v>0.1</v>
      </c>
      <c r="X20" s="7">
        <f>SUM(1,-W20)</f>
        <v>0.9</v>
      </c>
      <c r="Y20" s="16">
        <v>2009</v>
      </c>
      <c r="Z20" s="27">
        <v>3.6900000000000002E-2</v>
      </c>
      <c r="AA20" s="27">
        <f t="shared" si="0"/>
        <v>4.0900000000000006E-2</v>
      </c>
      <c r="AB20" s="27">
        <f t="shared" si="1"/>
        <v>4.2900000000000008E-2</v>
      </c>
    </row>
    <row r="21" spans="1:28" x14ac:dyDescent="0.2">
      <c r="B21" s="16" t="s">
        <v>77</v>
      </c>
      <c r="C21" s="18"/>
      <c r="D21" s="18">
        <f>SUM(SUM(D9,D11,D13)/3,V35)</f>
        <v>8470200</v>
      </c>
      <c r="E21" s="18"/>
      <c r="F21" s="18"/>
      <c r="G21" s="18"/>
      <c r="N21" s="65">
        <f>SUM(C21:G21)</f>
        <v>8470200</v>
      </c>
      <c r="O21" s="24"/>
      <c r="P21" s="24"/>
      <c r="Q21" s="24"/>
      <c r="R21" s="24"/>
      <c r="S21" s="24"/>
      <c r="T21" s="24"/>
      <c r="U21" s="3" t="s">
        <v>737</v>
      </c>
      <c r="W21" s="21">
        <f>Macrogegevens!G12</f>
        <v>0.01</v>
      </c>
      <c r="X21" s="3"/>
      <c r="Y21" s="16">
        <v>2010</v>
      </c>
      <c r="Z21" s="27">
        <v>2.9899999999999999E-2</v>
      </c>
      <c r="AA21" s="27">
        <f t="shared" si="0"/>
        <v>3.39E-2</v>
      </c>
      <c r="AB21" s="27">
        <f t="shared" si="1"/>
        <v>3.5900000000000001E-2</v>
      </c>
    </row>
    <row r="22" spans="1:28" x14ac:dyDescent="0.2">
      <c r="B22" s="16" t="s">
        <v>188</v>
      </c>
      <c r="C22" s="50">
        <f>(-(C4*C3)*SUM(X2,W6)^8)*X24</f>
        <v>-2196731.548505337</v>
      </c>
      <c r="D22" s="50">
        <f>SUM(D8,D10,D12)/3</f>
        <v>-8470200</v>
      </c>
      <c r="E22" s="50">
        <f>-SUM((E3*SUM(X2,W6)^9),-E3)</f>
        <v>-5.6920066519204449E-2</v>
      </c>
      <c r="F22" s="23"/>
      <c r="G22" s="23"/>
      <c r="N22" s="16"/>
      <c r="O22" s="24">
        <f>SUM(C22:F23)</f>
        <v>-2196731.6054254025</v>
      </c>
      <c r="P22" s="24">
        <f>SUM(Q6,Q8,Q10,Q12,Q14,Q16,Q18,Q20,0.5*O22)*W10</f>
        <v>-281215.80707719538</v>
      </c>
      <c r="Q22" s="24">
        <f>SUM(O22:P22)</f>
        <v>-2477947.412502598</v>
      </c>
      <c r="R22" s="24">
        <f>SUM(C22:F23)</f>
        <v>-2196731.6054254025</v>
      </c>
      <c r="S22" s="24">
        <f>SUM(W10*T6,SUM(W10,W21)*T8,SUM(W10,W22)*T10,SUM(W10,W23)*SUM(T12,T14,T16,T18,T20,R22*0.5))</f>
        <v>-1076924.8019805595</v>
      </c>
      <c r="T22" s="24">
        <f>SUM(R22:S22)</f>
        <v>-3273656.4074059622</v>
      </c>
      <c r="U22" s="3" t="s">
        <v>696</v>
      </c>
      <c r="W22" s="21">
        <f>Macrogegevens!G13</f>
        <v>0.02</v>
      </c>
      <c r="X22" s="3"/>
      <c r="Y22" s="16">
        <v>2011</v>
      </c>
      <c r="Z22" s="27">
        <v>2.98E-2</v>
      </c>
      <c r="AA22" s="27">
        <f t="shared" si="0"/>
        <v>3.3799999999999997E-2</v>
      </c>
      <c r="AB22" s="27">
        <f t="shared" si="1"/>
        <v>3.5799999999999998E-2</v>
      </c>
    </row>
    <row r="23" spans="1:28" x14ac:dyDescent="0.2">
      <c r="B23" s="16" t="s">
        <v>189</v>
      </c>
      <c r="C23" s="18"/>
      <c r="D23" s="18">
        <f>SUM(SUM(D9,D11,D13)/3,V35)</f>
        <v>8470200</v>
      </c>
      <c r="E23" s="18"/>
      <c r="F23" s="18"/>
      <c r="G23" s="18"/>
      <c r="N23" s="65">
        <f>SUM(C23:G23)</f>
        <v>8470200</v>
      </c>
      <c r="O23" s="24"/>
      <c r="P23" s="24"/>
      <c r="Q23" s="24"/>
      <c r="R23" s="24"/>
      <c r="S23" s="24"/>
      <c r="T23" s="24"/>
      <c r="U23" s="3" t="s">
        <v>697</v>
      </c>
      <c r="W23" s="21">
        <f>Macrogegevens!G14</f>
        <v>0.03</v>
      </c>
      <c r="X23" s="3"/>
      <c r="Y23" s="16">
        <v>2012</v>
      </c>
      <c r="Z23" s="27">
        <v>1.9300000000000001E-2</v>
      </c>
      <c r="AA23" s="27">
        <f t="shared" si="0"/>
        <v>2.3300000000000001E-2</v>
      </c>
      <c r="AB23" s="27">
        <f t="shared" si="1"/>
        <v>2.5300000000000003E-2</v>
      </c>
    </row>
    <row r="24" spans="1:28" x14ac:dyDescent="0.2">
      <c r="B24" s="16" t="s">
        <v>714</v>
      </c>
      <c r="C24" s="50">
        <f>(-(C4*C3)*SUM(X2,W6)^9)*X24</f>
        <v>-2210285.3059530421</v>
      </c>
      <c r="D24" s="50">
        <f>SUM(D8,D10,D12)/3</f>
        <v>-8470200</v>
      </c>
      <c r="E24" s="50">
        <f>-SUM((E3*SUM(X2,W6)^10),-E3)</f>
        <v>-6.344122666412999E-2</v>
      </c>
      <c r="F24" s="23"/>
      <c r="G24" s="23"/>
      <c r="N24" s="16"/>
      <c r="O24" s="24">
        <f>SUM(C24:F25)</f>
        <v>-2210285.3693942688</v>
      </c>
      <c r="P24" s="24">
        <f>SUM(Q6,Q8,Q10,Q12,Q14,Q16,Q18,Q20,Q22,0.5*O24)*W10</f>
        <v>-306063.05002206564</v>
      </c>
      <c r="Q24" s="24">
        <f>SUM(O24:P24)</f>
        <v>-2516348.4194163345</v>
      </c>
      <c r="R24" s="24">
        <f>SUM(C24:F25)</f>
        <v>-2210285.3693942688</v>
      </c>
      <c r="S24" s="24">
        <f>SUM(W10*T6,SUM(W10,W21)*T8,SUM(W10,W22)*T10,SUM(W10,W23)*SUM(T12,T14,T16,T18,T20,T22,R24*0.5))</f>
        <v>-1208142.1335561753</v>
      </c>
      <c r="T24" s="24">
        <f>SUM(R24:S24)</f>
        <v>-3418427.5029504439</v>
      </c>
      <c r="U24" s="16" t="s">
        <v>147</v>
      </c>
      <c r="V24" s="16"/>
      <c r="W24" s="7">
        <f>Macrogegevens!G19</f>
        <v>0</v>
      </c>
      <c r="X24" s="7">
        <f>SUM(1,-W24)</f>
        <v>1</v>
      </c>
      <c r="Y24" s="16">
        <v>2013</v>
      </c>
      <c r="Z24" s="27">
        <v>1.9599999999999999E-2</v>
      </c>
      <c r="AA24" s="27">
        <f t="shared" si="0"/>
        <v>2.3599999999999999E-2</v>
      </c>
      <c r="AB24" s="27">
        <f t="shared" si="1"/>
        <v>2.5599999999999998E-2</v>
      </c>
    </row>
    <row r="25" spans="1:28" x14ac:dyDescent="0.2">
      <c r="B25" s="16" t="s">
        <v>715</v>
      </c>
      <c r="C25" s="18"/>
      <c r="D25" s="18">
        <f>SUM(SUM(D9,D11,D13)/3,V35)</f>
        <v>8470200</v>
      </c>
      <c r="E25" s="18"/>
      <c r="F25" s="18"/>
      <c r="G25" s="18"/>
      <c r="N25" s="65">
        <f>SUM(C25:G25)</f>
        <v>8470200</v>
      </c>
      <c r="O25" s="14"/>
      <c r="P25" s="14"/>
      <c r="W25" s="3"/>
      <c r="X25" s="3"/>
      <c r="Y25" s="16">
        <v>2014</v>
      </c>
      <c r="Z25" s="27">
        <v>1.4500000000000001E-2</v>
      </c>
      <c r="AA25" s="27">
        <f t="shared" si="0"/>
        <v>1.8500000000000003E-2</v>
      </c>
      <c r="AB25" s="27">
        <f t="shared" si="1"/>
        <v>2.0500000000000004E-2</v>
      </c>
    </row>
    <row r="26" spans="1:28" x14ac:dyDescent="0.2">
      <c r="N26" s="16"/>
      <c r="W26" s="3"/>
    </row>
    <row r="27" spans="1:28" x14ac:dyDescent="0.2">
      <c r="N27" s="18"/>
      <c r="Y27" s="90" t="s">
        <v>214</v>
      </c>
      <c r="Z27" s="90">
        <v>15</v>
      </c>
      <c r="AA27" s="16" t="s">
        <v>212</v>
      </c>
      <c r="AB27" s="16" t="s">
        <v>211</v>
      </c>
    </row>
    <row r="28" spans="1:28" x14ac:dyDescent="0.2">
      <c r="A28" s="52" t="s">
        <v>165</v>
      </c>
      <c r="C28" s="16" t="s">
        <v>44</v>
      </c>
      <c r="D28" s="16" t="s">
        <v>45</v>
      </c>
      <c r="E28" s="16" t="s">
        <v>46</v>
      </c>
      <c r="F28" s="16" t="s">
        <v>166</v>
      </c>
      <c r="G28" s="16" t="s">
        <v>167</v>
      </c>
      <c r="H28" s="16" t="s">
        <v>32</v>
      </c>
      <c r="I28" s="16" t="s">
        <v>47</v>
      </c>
      <c r="J28" s="16" t="s">
        <v>48</v>
      </c>
      <c r="K28" s="16" t="s">
        <v>35</v>
      </c>
      <c r="L28" s="16" t="s">
        <v>43</v>
      </c>
      <c r="M28" s="16" t="s">
        <v>33</v>
      </c>
      <c r="N28" s="3" t="s">
        <v>53</v>
      </c>
      <c r="O28" s="3" t="s">
        <v>54</v>
      </c>
      <c r="P28" s="3" t="s">
        <v>55</v>
      </c>
      <c r="Q28" s="3" t="s">
        <v>56</v>
      </c>
      <c r="R28" s="3" t="s">
        <v>84</v>
      </c>
      <c r="S28" s="3" t="s">
        <v>199</v>
      </c>
      <c r="T28" s="3" t="s">
        <v>159</v>
      </c>
      <c r="U28" s="2" t="s">
        <v>679</v>
      </c>
      <c r="Y28" s="90" t="s">
        <v>213</v>
      </c>
      <c r="Z28" s="90"/>
    </row>
    <row r="29" spans="1:28" x14ac:dyDescent="0.2">
      <c r="B29" s="16" t="s">
        <v>711</v>
      </c>
      <c r="C29" s="9">
        <f>Balansprognose!B12</f>
        <v>1</v>
      </c>
      <c r="D29" s="9">
        <f>Balansprognose!B13</f>
        <v>1</v>
      </c>
      <c r="E29" s="9">
        <f>Balansprognose!B16</f>
        <v>1</v>
      </c>
      <c r="F29" s="9">
        <f>Balansprognose!B25</f>
        <v>1</v>
      </c>
      <c r="G29" s="9">
        <f>Balansprognose!B27</f>
        <v>1</v>
      </c>
      <c r="H29" s="9">
        <f>Balansprognose!B29</f>
        <v>1</v>
      </c>
      <c r="I29" s="100">
        <f>-Balansprognose!F11</f>
        <v>-1</v>
      </c>
      <c r="J29" s="100">
        <f>-Balansprognose!F12</f>
        <v>-1</v>
      </c>
      <c r="K29" s="100">
        <f>-Balansprognose!F16</f>
        <v>-1</v>
      </c>
      <c r="L29" s="100">
        <f>-Balansprognose!F18</f>
        <v>-1</v>
      </c>
      <c r="M29" s="100">
        <f>-Balansprognose!F20</f>
        <v>-1</v>
      </c>
      <c r="N29" s="24"/>
      <c r="O29" s="24"/>
      <c r="P29" s="24">
        <f>SUM(C29:O29)</f>
        <v>1</v>
      </c>
      <c r="Q29" s="24"/>
      <c r="R29" s="24"/>
      <c r="Y29" s="16">
        <v>2015</v>
      </c>
      <c r="Z29" s="16">
        <f>Z27</f>
        <v>15</v>
      </c>
      <c r="AA29" s="27">
        <f>SUM(AA11*1/Z29,AA12*1/Z29,AA13*1/Z29,AA14*1/Z29,AA15*1/Z29,AA16*1/$Z$29,AA17*1/$Z$29,AA18*1/$Z$29,AA19*1/$Z$29,AA20*1/$Z$29,AA21*1/$Z$29,AA22*1/$Z$29,AA23*1/$Z$29,AA24*1/$Z$29,AA25*1/$Z$29)</f>
        <v>4.0093333333333335E-2</v>
      </c>
      <c r="AB29" s="27">
        <f>SUM(AA29,0.2%)</f>
        <v>4.2093333333333337E-2</v>
      </c>
    </row>
    <row r="30" spans="1:28" x14ac:dyDescent="0.2">
      <c r="B30" s="16" t="s">
        <v>190</v>
      </c>
      <c r="C30" s="13">
        <v>0</v>
      </c>
      <c r="D30" s="13">
        <v>0</v>
      </c>
      <c r="E30" s="13">
        <v>0</v>
      </c>
      <c r="F30" s="13">
        <v>0</v>
      </c>
      <c r="G30" s="13">
        <v>0</v>
      </c>
      <c r="H30" s="13">
        <v>0</v>
      </c>
      <c r="I30" s="50">
        <f>I29/Z29</f>
        <v>-6.6666666666666666E-2</v>
      </c>
      <c r="J30" s="50">
        <f>J29/Z29</f>
        <v>-6.6666666666666666E-2</v>
      </c>
      <c r="K30" s="13">
        <v>0</v>
      </c>
      <c r="L30" s="13">
        <v>0</v>
      </c>
      <c r="M30" s="13">
        <v>0</v>
      </c>
      <c r="N30" s="64">
        <f>SUM(-Balansprognose!C41,-Balansprognose!C42,-Balansprognose!C43)</f>
        <v>0</v>
      </c>
      <c r="O30" s="9">
        <f>-SUM(C30,D30,E30,F30,G30,H30,I30,J30,K30,L30,M30,N30)</f>
        <v>0.13333333333333333</v>
      </c>
      <c r="P30" s="24">
        <f>SUM(P29,R30)</f>
        <v>1.0466057777777777</v>
      </c>
      <c r="Q30" s="24">
        <f>SUM((SUM(C29,-C30)*C31),(SUM(D29,-D30)*D31),(SUM(E29,-E30)*E31),(F29*F31),(SUM(G29,-G30)*G31),(H29*H31),(SUM(I29,-I30)*I31),(SUM(J29,-J30)*J31),(SUM(K29,-K30)*K31),(L29*L31),(M29*M31),(-N30*N31),(-O30*O31))</f>
        <v>4.6605777777777781E-2</v>
      </c>
      <c r="R30" s="24">
        <f>SUM(C30,D30,E30,F30,G30,H30,I30,J30,K30,L30,M30,N30,O30,Q30)</f>
        <v>4.6605777777777781E-2</v>
      </c>
      <c r="S30" s="24">
        <f>SUM((SUM(I29,-I30)*I31),(SUM(J29,-J30)*J31),(SUM(K29,-K30)*K31),(-O30*O31))</f>
        <v>-8.067422222222223E-2</v>
      </c>
      <c r="T30" s="51">
        <f>SUM((SUM(C29,-C30)*C31),(SUM(D29,-D30)*D31),(SUM(E29,-E30)*E31),(SUM(G29,-G30)*G31),(-N30*N31))</f>
        <v>0.12728</v>
      </c>
      <c r="U30" s="186" t="s">
        <v>680</v>
      </c>
      <c r="V30" s="50">
        <f>SUM(D8,D10,D12)/3</f>
        <v>-8470200</v>
      </c>
      <c r="W30" s="18"/>
      <c r="Y30" s="16">
        <v>2016</v>
      </c>
      <c r="Z30" s="16">
        <f>SUM(Z27,-1)</f>
        <v>14</v>
      </c>
      <c r="AA30" s="27">
        <f>SUM(AA12*1/Z30,AA13*1/Z30,AA14*1/Z30,AA15*1/Z30,AA16*1/Z30,AA17*1/$Z$30,AA18*1/$Z$30,AA19*1/$Z$30,AA20*1/$Z$30,AA21*1/$Z$30,AA22*1/$Z$30,AA23*1/$Z$30,AA24*1/$Z$30,AA25*1/$Z$30)</f>
        <v>3.8807142857142853E-2</v>
      </c>
      <c r="AB30" s="27">
        <f t="shared" ref="AB30:AB38" si="2">SUM(AA30,0.2%)</f>
        <v>4.0807142857142854E-2</v>
      </c>
    </row>
    <row r="31" spans="1:28" x14ac:dyDescent="0.2">
      <c r="B31" s="16" t="s">
        <v>716</v>
      </c>
      <c r="C31" s="222">
        <f>AB29</f>
        <v>4.2093333333333337E-2</v>
      </c>
      <c r="D31" s="222">
        <f>AB29</f>
        <v>4.2093333333333337E-2</v>
      </c>
      <c r="E31" s="222">
        <f>AB29</f>
        <v>4.2093333333333337E-2</v>
      </c>
      <c r="F31" s="21"/>
      <c r="G31" s="4">
        <f>W8</f>
        <v>1E-3</v>
      </c>
      <c r="H31" s="21"/>
      <c r="I31" s="222">
        <f>AA29</f>
        <v>4.0093333333333335E-2</v>
      </c>
      <c r="J31" s="222">
        <f>AA29</f>
        <v>4.0093333333333335E-2</v>
      </c>
      <c r="K31" s="4">
        <f>W9</f>
        <v>4.4999999999999997E-3</v>
      </c>
      <c r="L31" s="21"/>
      <c r="M31" s="21"/>
      <c r="N31" s="8">
        <f>W7</f>
        <v>1.4E-2</v>
      </c>
      <c r="O31" s="8">
        <f>W10</f>
        <v>0.01</v>
      </c>
      <c r="P31" s="21">
        <f>Q30/P30</f>
        <v>4.4530403679534654E-2</v>
      </c>
      <c r="R31" s="8">
        <f>W10</f>
        <v>0.01</v>
      </c>
      <c r="U31" s="186" t="s">
        <v>681</v>
      </c>
      <c r="V31" s="18">
        <f>SUM(D9,D11,D13)/3</f>
        <v>5735700</v>
      </c>
      <c r="Y31" s="16">
        <v>2017</v>
      </c>
      <c r="Z31" s="16">
        <f>SUM(Z27,-2)</f>
        <v>13</v>
      </c>
      <c r="AA31" s="27">
        <f>SUM(AA13*1/Z31,AA14*1/Z31,AA15*1/Z31,AA16*1/Z31,AA17*1/Z31,$AA$18*1/Z31,$AA$19*1/Z31,$AA$20*1/Z31,$AA$21*1/Z31,$AA$22*1/Z31,$AA$23*1/Z31,$AA$24*1/Z31,$AA$25*1/Z31)</f>
        <v>3.7669230769230767E-2</v>
      </c>
      <c r="AB31" s="27">
        <f t="shared" si="2"/>
        <v>3.9669230769230769E-2</v>
      </c>
    </row>
    <row r="32" spans="1:28" hidden="1" x14ac:dyDescent="0.2">
      <c r="B32" s="16" t="s">
        <v>191</v>
      </c>
      <c r="C32" s="9">
        <f>C29/Z29</f>
        <v>6.6666666666666666E-2</v>
      </c>
      <c r="D32" s="9">
        <f>D29/Z29</f>
        <v>6.6666666666666666E-2</v>
      </c>
      <c r="E32" s="9">
        <f>E29/Z29</f>
        <v>6.6666666666666666E-2</v>
      </c>
      <c r="F32" s="14"/>
      <c r="G32" s="14"/>
      <c r="H32" s="14"/>
      <c r="I32" s="50">
        <f>I29/Z29</f>
        <v>-6.6666666666666666E-2</v>
      </c>
      <c r="J32" s="50">
        <f>J29/Z29</f>
        <v>-6.6666666666666666E-2</v>
      </c>
      <c r="K32" s="14"/>
      <c r="L32" s="14"/>
      <c r="M32" s="14"/>
      <c r="N32" s="64">
        <f>SUM(-C32,-D32)</f>
        <v>-0.13333333333333333</v>
      </c>
      <c r="O32" s="14">
        <f>-SUM(C32,D32,E32,I32,J32,N32)</f>
        <v>6.6666666666666638E-2</v>
      </c>
      <c r="P32" s="24">
        <f>SUM(P30,R32)</f>
        <v>1.0904327879365079</v>
      </c>
      <c r="Q32" s="24">
        <f>SUM((SUM(C29,-C30,-C32)*C33),(SUM(D29,-D30,-D32)*D33),(SUM(E29,-E30,-E32)*E33),(F29*F33),(SUM(G29,-G30)*G33),(H29*H33),(SUM(I29,-I30,-I32)*I33),(SUM(J29,-J30,-J32)*J33),(SUM(K29,-K30)*K33),(L29*L33),(M29*M33),(SUM(-N30,-N32)*N33),(SUM(-O30,-O32)*O33),(R30*R31))</f>
        <v>4.3827010158730181E-2</v>
      </c>
      <c r="R32" s="24">
        <f>SUM(C32,D32,N32,Q32)</f>
        <v>4.3827010158730181E-2</v>
      </c>
      <c r="S32" s="24">
        <f>SUM((SUM(I29,-I30,-I32)*I33),(SUM(J29,-J30,-J32)*J33),(SUM(K29,-K30)*K33),(SUM(-O30,-O32)*O33),(R30*R31))</f>
        <v>-7.3299656507936503E-2</v>
      </c>
      <c r="T32" s="51">
        <f>SUM((SUM(C29,-C30,-C32)*C33),(SUM(D29,-D30,-D32)*D33),(SUM(E29,-E30,-E32)*E33),(SUM(G29,-G30)*G33),(SUM(-N30,-N32)*N33))</f>
        <v>0.11712666666666667</v>
      </c>
      <c r="U32" s="29" t="s">
        <v>682</v>
      </c>
      <c r="V32" s="51">
        <f>-SUM(V30,V31)</f>
        <v>2734500</v>
      </c>
      <c r="Y32" s="16">
        <v>2018</v>
      </c>
      <c r="Z32" s="16">
        <f>SUM(Z27,-3)</f>
        <v>12</v>
      </c>
      <c r="AA32" s="27">
        <f>SUM(AA14*1/Z32,AA15*1/Z32,AA16*1/Z32,AA17*1/Z32,AA18*1/Z32,$AA$19*1/Z32,$AA$20*1/Z32,$AA$21*1/Z32,$AA$22*1/Z32,$AA$23*1/Z32,$AA$24*1/Z32,$AA$25*1/Z32)</f>
        <v>3.6399999999999988E-2</v>
      </c>
      <c r="AB32" s="27">
        <f t="shared" si="2"/>
        <v>3.839999999999999E-2</v>
      </c>
    </row>
    <row r="33" spans="2:28" hidden="1" x14ac:dyDescent="0.2">
      <c r="B33" s="16" t="s">
        <v>717</v>
      </c>
      <c r="C33" s="4">
        <f>AB30</f>
        <v>4.0807142857142854E-2</v>
      </c>
      <c r="D33" s="4">
        <f>AB30</f>
        <v>4.0807142857142854E-2</v>
      </c>
      <c r="E33" s="4">
        <f>AB30</f>
        <v>4.0807142857142854E-2</v>
      </c>
      <c r="F33" s="21"/>
      <c r="G33" s="21">
        <f>$W$8</f>
        <v>1E-3</v>
      </c>
      <c r="H33" s="21"/>
      <c r="I33" s="4">
        <f>AA30</f>
        <v>3.8807142857142853E-2</v>
      </c>
      <c r="J33" s="4">
        <f>AA30</f>
        <v>3.8807142857142853E-2</v>
      </c>
      <c r="K33" s="21">
        <f>W9</f>
        <v>4.4999999999999997E-3</v>
      </c>
      <c r="L33" s="21"/>
      <c r="M33" s="21"/>
      <c r="N33" s="8">
        <f>W7</f>
        <v>1.4E-2</v>
      </c>
      <c r="O33" s="8">
        <f>W10</f>
        <v>0.01</v>
      </c>
      <c r="P33" s="21">
        <f>Q32/P32</f>
        <v>4.0192307718173712E-2</v>
      </c>
      <c r="Q33" s="14"/>
      <c r="R33" s="8">
        <f>W10</f>
        <v>0.01</v>
      </c>
      <c r="U33" s="29" t="s">
        <v>684</v>
      </c>
      <c r="V33" s="14">
        <f>SUM(V31,V32)*0.07</f>
        <v>592914</v>
      </c>
      <c r="Y33" s="16">
        <v>2019</v>
      </c>
      <c r="Z33" s="16">
        <f>SUM(Z27,-4)</f>
        <v>11</v>
      </c>
      <c r="AA33" s="27">
        <f>SUM(AA15*1/Z33,AA16*1/Z33,AA17*1/Z33,AA18*1/Z33,AA19*1/Z33,$AA$20*1/Z33,$AA$21*1/Z33,$AA$22*1/Z33,$AA$23*1/Z33,$AA$24*1/Z33,$AA$25*1/Z33)</f>
        <v>3.56E-2</v>
      </c>
      <c r="AB33" s="27">
        <f t="shared" si="2"/>
        <v>3.7600000000000001E-2</v>
      </c>
    </row>
    <row r="34" spans="2:28" hidden="1" x14ac:dyDescent="0.2">
      <c r="B34" s="16" t="s">
        <v>718</v>
      </c>
      <c r="C34" s="9">
        <f>C29/Z29</f>
        <v>6.6666666666666666E-2</v>
      </c>
      <c r="D34" s="9">
        <f>D29/Z29</f>
        <v>6.6666666666666666E-2</v>
      </c>
      <c r="E34" s="9">
        <f>E29/Z29</f>
        <v>6.6666666666666666E-2</v>
      </c>
      <c r="F34" s="14"/>
      <c r="G34" s="14"/>
      <c r="H34" s="14"/>
      <c r="I34" s="50">
        <f>I29/Z29</f>
        <v>-6.6666666666666666E-2</v>
      </c>
      <c r="J34" s="50">
        <f>J29/Z29</f>
        <v>-6.6666666666666666E-2</v>
      </c>
      <c r="K34" s="14"/>
      <c r="L34" s="14"/>
      <c r="M34" s="14"/>
      <c r="N34" s="64">
        <f>SUM(-C34,-D34)</f>
        <v>-0.13333333333333333</v>
      </c>
      <c r="O34" s="14">
        <f>-SUM(C34,D34,E34,I34,J34,N34)</f>
        <v>6.6666666666666638E-2</v>
      </c>
      <c r="P34" s="24">
        <f>SUM(P32,R34)</f>
        <v>1.1317730132517705</v>
      </c>
      <c r="Q34" s="24">
        <f>SUM((SUM(C29,-C30,-C32,-C34)*C35),(SUM(D29,-D30,-D32,-D34)*D35),(SUM(E29,-E30,-E32,-E34)*E35),(F29*F35),(SUM(G29-G30)*G35),(H29*H35),(SUM(I29,-I30,-I32,-I34)*I35),(SUM(J29,-J30,-J32,-J34)*J35),(SUM(K29,-K30)*K35),(L29*L35),(M29*M35),(SUM(-N30,-N32,-N34)*N35),(SUM(-O30,-O32,-O34)*O35),(R30*R31),(R32*R33))</f>
        <v>4.1340225315262519E-2</v>
      </c>
      <c r="R34" s="24">
        <f>SUM(C34,D34,N34,Q34)</f>
        <v>4.1340225315262519E-2</v>
      </c>
      <c r="S34" s="24">
        <f>SUM((SUM(I29,-I30,-I32,-I34)*I35),(SUM(J29,-J30,-J32,-J34)*J35),(SUM(K29,-K30)*K35),(SUM(-O30,-O32,-O34)*O35),(SUM(R30,R32)*R33))</f>
        <v>-6.6533108018070816E-2</v>
      </c>
      <c r="T34" s="51">
        <f>SUM((SUM(C29,-C30,-C32,-C34)*C35),(SUM(D29,-D30,-D32,-D34)*D35),(SUM(E29,-E30,-E32,-E34)*E35),(SUM(G29,-G30)*G35),(SUM(-N30,-N32,-N34)*N35))</f>
        <v>0.10787333333333335</v>
      </c>
      <c r="U34" s="29" t="s">
        <v>683</v>
      </c>
      <c r="V34" s="51">
        <f>SUM(V32,V33)</f>
        <v>3327414</v>
      </c>
      <c r="Y34" s="16">
        <v>2020</v>
      </c>
      <c r="Z34" s="16">
        <f>SUM(Z27,-5)</f>
        <v>10</v>
      </c>
      <c r="AA34" s="27">
        <f>SUM(AA16*1/Z34,AA17*1/Z34,AA18*1/Z34,AA19*1/Z34,AA20*1/Z34,$AA$21*1/Z34,$AA$22*1/Z34,$AA$23*1/Z34,$AA$24*1/Z34,$AA$25*1/Z34)</f>
        <v>3.4669999999999999E-2</v>
      </c>
      <c r="AB34" s="27">
        <f t="shared" si="2"/>
        <v>3.6670000000000001E-2</v>
      </c>
    </row>
    <row r="35" spans="2:28" hidden="1" x14ac:dyDescent="0.2">
      <c r="B35" s="16" t="s">
        <v>719</v>
      </c>
      <c r="C35" s="4">
        <f>AB31</f>
        <v>3.9669230769230769E-2</v>
      </c>
      <c r="D35" s="4">
        <f>AB31</f>
        <v>3.9669230769230769E-2</v>
      </c>
      <c r="E35" s="4">
        <f>AB31</f>
        <v>3.9669230769230769E-2</v>
      </c>
      <c r="F35" s="21"/>
      <c r="G35" s="21">
        <f>$W$8</f>
        <v>1E-3</v>
      </c>
      <c r="H35" s="21"/>
      <c r="I35" s="4">
        <f>AA31</f>
        <v>3.7669230769230767E-2</v>
      </c>
      <c r="J35" s="4">
        <f>AA31</f>
        <v>3.7669230769230767E-2</v>
      </c>
      <c r="K35" s="21">
        <f>W9</f>
        <v>4.4999999999999997E-3</v>
      </c>
      <c r="L35" s="21"/>
      <c r="M35" s="21"/>
      <c r="N35" s="8">
        <f>W7</f>
        <v>1.4E-2</v>
      </c>
      <c r="O35" s="8">
        <f>W10</f>
        <v>0.01</v>
      </c>
      <c r="P35" s="21">
        <f>Q34/P34</f>
        <v>3.6526957995300875E-2</v>
      </c>
      <c r="R35" s="8">
        <f>W10</f>
        <v>0.01</v>
      </c>
      <c r="U35" s="29" t="s">
        <v>685</v>
      </c>
      <c r="V35" s="51">
        <f>IF(Macrogegevens!C9&gt;0,V34,V32)</f>
        <v>2734500</v>
      </c>
      <c r="Y35" s="16">
        <v>2021</v>
      </c>
      <c r="Z35" s="16">
        <f>SUM(Z27,-6)</f>
        <v>9</v>
      </c>
      <c r="AA35" s="27">
        <f>SUM(AA17*1/Z35,AA18*1/Z35,AA19*1/Z35,AA20*1/Z35,AA21*1/Z35,$AA$22*1/Z35,$AA$23*1/Z35,$AA$24*1/Z35,$AA$25*1/Z35)</f>
        <v>3.4333333333333327E-2</v>
      </c>
      <c r="AB35" s="27">
        <f t="shared" si="2"/>
        <v>3.6333333333333329E-2</v>
      </c>
    </row>
    <row r="36" spans="2:28" hidden="1" x14ac:dyDescent="0.2">
      <c r="B36" s="16" t="s">
        <v>49</v>
      </c>
      <c r="C36" s="9">
        <f>C29/Z29</f>
        <v>6.6666666666666666E-2</v>
      </c>
      <c r="D36" s="9">
        <f>D29/Z29</f>
        <v>6.6666666666666666E-2</v>
      </c>
      <c r="E36" s="9">
        <f>E29/Z29</f>
        <v>6.6666666666666666E-2</v>
      </c>
      <c r="F36" s="14"/>
      <c r="G36" s="14"/>
      <c r="H36" s="14"/>
      <c r="I36" s="50">
        <f>I29/Z29</f>
        <v>-6.6666666666666666E-2</v>
      </c>
      <c r="J36" s="50">
        <f>J29/Z29</f>
        <v>-6.6666666666666666E-2</v>
      </c>
      <c r="K36" s="14"/>
      <c r="L36" s="14"/>
      <c r="M36" s="14"/>
      <c r="N36" s="64">
        <f>SUM(-C36,-D36)</f>
        <v>-0.13333333333333333</v>
      </c>
      <c r="O36" s="14">
        <f>-SUM(C36,D36,E36,I36,J36,N36)</f>
        <v>6.6666666666666638E-2</v>
      </c>
      <c r="P36" s="24">
        <f>SUM(P34,R36)</f>
        <v>1.1706307433842882</v>
      </c>
      <c r="Q36" s="24">
        <f>SUM((SUM(C29,-C30,-C32,-C34,-C36)*C37),(SUM(D29,-D30,-D32,-D34,-D36)*D37),(SUM(E29,-E30,-E32,-E34,-E36)*E37),(F29*F37),(SUM(G29,-G30)*G37),(H29*H37),(SUM(I29,-I30,-I32,-I34,-I36)*I37),(SUM(J29,-J30,-J32,-J34,-J36)*J37),(SUM(K29,-K30)*K37),(L29*L37),(M29*M37),(SUM(-N30,-N32,-N34,-N36)*N37),(SUM(-O30,-O32,-O34,-O36)*O37),(R30*R31),(R32*R33),(R34*R35))</f>
        <v>3.8857730132517691E-2</v>
      </c>
      <c r="R36" s="24">
        <f>SUM(C36,D36,N36,Q36)</f>
        <v>3.8857730132517691E-2</v>
      </c>
      <c r="S36" s="24">
        <f>SUM((SUM(I29,-I30,-I32,-I34,-I36)*I37),(SUM(J29,-J30,-J32,-J34,-J36)*J37),(SUM(K29,-K30)*K37),(SUM(-O30,-O32,-O34,-O36)*O37),(SUM(R30,R32,R34)*R35))</f>
        <v>-5.9902269867482275E-2</v>
      </c>
      <c r="T36" s="51">
        <f>SUM((SUM(C29,-C30,-C32,-C34,-C36)*C37),(SUM(D29,-D30,-D32,-D34,-D36)*D37),(SUM(E29,-E30,-E32,-E34,-E36)*E37),(SUM(G29,-G30)*G37),(SUM(-N30,-N32,-N34,-N36)*N37))</f>
        <v>9.8759999999999987E-2</v>
      </c>
      <c r="U36" s="24"/>
      <c r="Y36" s="16">
        <v>2022</v>
      </c>
      <c r="Z36" s="16">
        <f>SUM(Z27,-7)</f>
        <v>8</v>
      </c>
      <c r="AA36" s="27">
        <f>SUM(AA18*1/Z36,AA19*1/Z36,AA20*1/Z36,AA21*1/Z36,AA22*1/Z36,$AA$23*1/Z36,$AA$24*1/Z36,$AA$25*1/Z36)</f>
        <v>3.3399999999999999E-2</v>
      </c>
      <c r="AB36" s="27">
        <f t="shared" si="2"/>
        <v>3.5400000000000001E-2</v>
      </c>
    </row>
    <row r="37" spans="2:28" hidden="1" x14ac:dyDescent="0.2">
      <c r="B37" s="16" t="s">
        <v>720</v>
      </c>
      <c r="C37" s="4">
        <f>AB32</f>
        <v>3.839999999999999E-2</v>
      </c>
      <c r="D37" s="4">
        <f>AB32</f>
        <v>3.839999999999999E-2</v>
      </c>
      <c r="E37" s="4">
        <f>AB32</f>
        <v>3.839999999999999E-2</v>
      </c>
      <c r="F37" s="21"/>
      <c r="G37" s="21">
        <f>$W$8</f>
        <v>1E-3</v>
      </c>
      <c r="H37" s="21"/>
      <c r="I37" s="4">
        <f>AA32</f>
        <v>3.6399999999999988E-2</v>
      </c>
      <c r="J37" s="4">
        <f>AA32</f>
        <v>3.6399999999999988E-2</v>
      </c>
      <c r="K37" s="21">
        <f>W9</f>
        <v>4.4999999999999997E-3</v>
      </c>
      <c r="L37" s="21"/>
      <c r="M37" s="21"/>
      <c r="N37" s="8">
        <f>W7</f>
        <v>1.4E-2</v>
      </c>
      <c r="O37" s="8">
        <f>W10</f>
        <v>0.01</v>
      </c>
      <c r="P37" s="21">
        <f>Q36/P36</f>
        <v>3.3193840459187128E-2</v>
      </c>
      <c r="R37" s="8">
        <f>W10</f>
        <v>0.01</v>
      </c>
      <c r="Y37" s="16">
        <v>2023</v>
      </c>
      <c r="Z37" s="16">
        <f>SUM(Z27,-8)</f>
        <v>7</v>
      </c>
      <c r="AA37" s="27">
        <f>SUM(AA19*1/Z37,AA20*1/Z37,AA21*1/Z37,AA22*1/Z37,AA23*1/Z37,$AA$24*1/Z37,$AA$25*1/Z37)</f>
        <v>3.1471428571428567E-2</v>
      </c>
      <c r="AB37" s="27">
        <f t="shared" si="2"/>
        <v>3.3471428571428569E-2</v>
      </c>
    </row>
    <row r="38" spans="2:28" hidden="1" x14ac:dyDescent="0.2">
      <c r="B38" s="16" t="s">
        <v>193</v>
      </c>
      <c r="C38" s="9">
        <f>C29/Z29</f>
        <v>6.6666666666666666E-2</v>
      </c>
      <c r="D38" s="9">
        <f>D29/Z29</f>
        <v>6.6666666666666666E-2</v>
      </c>
      <c r="E38" s="9">
        <f>E29/Z29</f>
        <v>6.6666666666666666E-2</v>
      </c>
      <c r="F38" s="14"/>
      <c r="G38" s="14"/>
      <c r="H38" s="14"/>
      <c r="I38" s="50">
        <f>I29/Z29</f>
        <v>-6.6666666666666666E-2</v>
      </c>
      <c r="J38" s="50">
        <f>J29/Z29</f>
        <v>-6.6666666666666666E-2</v>
      </c>
      <c r="K38" s="14"/>
      <c r="L38" s="14"/>
      <c r="M38" s="14"/>
      <c r="N38" s="64">
        <f>SUM(-C38,-D38)</f>
        <v>-0.13333333333333333</v>
      </c>
      <c r="O38" s="14">
        <f>-SUM(C38,D38,E38,I38,J38,N38)</f>
        <v>6.6666666666666638E-2</v>
      </c>
      <c r="P38" s="24">
        <f>SUM(P36,R38)</f>
        <v>1.207557050818131</v>
      </c>
      <c r="Q38" s="25">
        <f>SUM((SUM(C29,-C30,-C32,-C34,-C36,-C38)*C39),(SUM(D29,-D30,-D32,-D34,-D36,-D38)*D39),(SUM(E29,-E30,-E32,-E34,-E36,-E38)*E39),(F29*F39),(SUM(G29,-G30)*G39),(H29*H39),(SUM(I29,-I30,-I32,-I34,-I36,-I38)*I39),(SUM(J29,-J30,-J32,-J34,-J36,-J38)*J39),(SUM(K29,-K30)*K39),(L29*L39),(M29*M39),(SUM(-N30,-N32,-N34,-N36,-N38)*N39),(SUM(-O30,-O32,-O34,-O36,-O38)*O39),(R30*R31),(R32*R33),(R34*R35),(R36*R37))</f>
        <v>3.6926307433842884E-2</v>
      </c>
      <c r="R38" s="24">
        <f>SUM(C38,D38,N38,Q38)</f>
        <v>3.6926307433842884E-2</v>
      </c>
      <c r="S38" s="24">
        <f>SUM((SUM(I29,-I30,-I32,-I34,-I36,-I38)*I39),(SUM(J29,-J30,-J32,-J34,-J36,-J38)*J39),(SUM(K29,-K30)*K39),(SUM(-O30,-O32,-O34,-O36,-O38)*O39),(SUM(R30,R32,R34,R36)*R37))</f>
        <v>-5.4260359232823782E-2</v>
      </c>
      <c r="T38" s="51">
        <f>SUM((SUM(C29,-C30,-C32,-C34,-C36,-C38)*C39),(SUM(D29,-D30,-D32,-D34,-D36,-D38)*D39),(SUM(E29,-E30,-E32,-E34,-E36,-E38)*E39),(SUM(G29,-G30)*G39),(SUM(-N30,-N32,-N34,-N36,-N38)*N39))</f>
        <v>9.1186666666666666E-2</v>
      </c>
      <c r="U38" s="24"/>
      <c r="Y38" s="16">
        <v>2024</v>
      </c>
      <c r="Z38" s="16">
        <f>SUM(Z27,-9)</f>
        <v>6</v>
      </c>
      <c r="AA38" s="27">
        <f>SUM(AA20*1/Z38,AA21*1/Z38,AA22*1/Z38,AA23*1/Z38,AA24*1/Z38,$AA$25*1/Z38)</f>
        <v>2.9000000000000001E-2</v>
      </c>
      <c r="AB38" s="27">
        <f t="shared" si="2"/>
        <v>3.1E-2</v>
      </c>
    </row>
    <row r="39" spans="2:28" hidden="1" x14ac:dyDescent="0.2">
      <c r="B39" s="16" t="s">
        <v>50</v>
      </c>
      <c r="C39" s="4">
        <f>AB33</f>
        <v>3.7600000000000001E-2</v>
      </c>
      <c r="D39" s="4">
        <f>AB33</f>
        <v>3.7600000000000001E-2</v>
      </c>
      <c r="E39" s="4">
        <f>AB33</f>
        <v>3.7600000000000001E-2</v>
      </c>
      <c r="F39" s="21"/>
      <c r="G39" s="21">
        <f>$W$8</f>
        <v>1E-3</v>
      </c>
      <c r="H39" s="21"/>
      <c r="I39" s="4">
        <f>AA33</f>
        <v>3.56E-2</v>
      </c>
      <c r="J39" s="4">
        <f>AA33</f>
        <v>3.56E-2</v>
      </c>
      <c r="K39" s="21">
        <f>W9</f>
        <v>4.4999999999999997E-3</v>
      </c>
      <c r="L39" s="21"/>
      <c r="M39" s="21"/>
      <c r="N39" s="8">
        <f>W7</f>
        <v>1.4E-2</v>
      </c>
      <c r="O39" s="8">
        <f>W10</f>
        <v>0.01</v>
      </c>
      <c r="P39" s="21">
        <f>Q38/P38</f>
        <v>3.057934812175124E-2</v>
      </c>
      <c r="R39" s="8">
        <f>W10</f>
        <v>0.01</v>
      </c>
    </row>
    <row r="40" spans="2:28" hidden="1" x14ac:dyDescent="0.2">
      <c r="B40" s="16" t="s">
        <v>721</v>
      </c>
      <c r="C40" s="9">
        <f>C29/Z29</f>
        <v>6.6666666666666666E-2</v>
      </c>
      <c r="D40" s="9">
        <f>D29/Z29</f>
        <v>6.6666666666666666E-2</v>
      </c>
      <c r="E40" s="9">
        <f>E29/Z29</f>
        <v>6.6666666666666666E-2</v>
      </c>
      <c r="F40" s="14"/>
      <c r="G40" s="14"/>
      <c r="H40" s="14"/>
      <c r="I40" s="50">
        <f>I29/Z29</f>
        <v>-6.6666666666666666E-2</v>
      </c>
      <c r="J40" s="50">
        <f>J29/Z29</f>
        <v>-6.6666666666666666E-2</v>
      </c>
      <c r="K40" s="14"/>
      <c r="L40" s="14"/>
      <c r="M40" s="14"/>
      <c r="N40" s="64">
        <f>SUM(-C40,-D40)</f>
        <v>-0.13333333333333333</v>
      </c>
      <c r="O40" s="14">
        <f>-SUM(C40,D40,E40,I40,J40,N40)</f>
        <v>6.6666666666666638E-2</v>
      </c>
      <c r="P40" s="24">
        <f>SUM(P38,R40)</f>
        <v>1.242535287992979</v>
      </c>
      <c r="Q40" s="25">
        <f>SUM((SUM(C29,-C30,-C32,-C34,-C36,-C38,-C40)*C41),(SUM(D29,-D30,-D32,-D34,-D36,-D38,-D40)*D41),(SUM(E29,-E30,-E32,-E34,-E36,-E38,-E40)*E41),(F29*F41),(SUM(G29,-G30)*G41),(H29*H41),(SUM(I29,-I30,-I32,-I34,-I36,-I38,-I40)*I41),(SUM(J29,-J30,-J32,-J34,-J36,-J38,-J40)*J41),(SUM(K29,-K30)*K41),(L29*L41),(M29*M41),(SUM(-N30,-N32,-N34,-N36,-N38,-N40)*N41),(SUM(-O30,-O32,-O34,-O36,-O38,-O40)*O41),(R30*R31),(R32*R33),(R34*R35),(R36*R37),(R38*R39))</f>
        <v>3.4978237174847965E-2</v>
      </c>
      <c r="R40" s="24">
        <f>SUM(C40,D40,N40,Q40)</f>
        <v>3.4978237174847965E-2</v>
      </c>
      <c r="S40" s="24">
        <f>SUM((SUM(I29,-I30,-I32,-I34,-I36,-I38,-I40)*I41),(SUM(J29,-J30,-J32,-J34,-J36,-J38,-J40)*J41),(SUM(K29,-K30)*K41),(SUM(-O30,-O32,-O34,-O36,-O38,-O40)*O41),(SUM(R30,R32,R34,R36,R38)*R39))</f>
        <v>-4.8695096158485357E-2</v>
      </c>
      <c r="T40" s="51">
        <f>SUM((SUM(C29,-C30,-C32,-C34,-C36,-C38,-C40)*C41),(SUM(D29,-D30,-D32,-D34,-D36,-D38,-D40)*D41),(SUM(E29,-E30,-E32,-E34,-E36,-E38,-E40)*E41),(SUM(G29,-G30)*G41),(SUM(-N30,-N32,-N34,-N36,-N38,-N40)*N41))</f>
        <v>8.3673333333333336E-2</v>
      </c>
      <c r="U40" s="24"/>
    </row>
    <row r="41" spans="2:28" hidden="1" x14ac:dyDescent="0.2">
      <c r="B41" s="16" t="s">
        <v>722</v>
      </c>
      <c r="C41" s="4">
        <f>AB34</f>
        <v>3.6670000000000001E-2</v>
      </c>
      <c r="D41" s="4">
        <f>AB34</f>
        <v>3.6670000000000001E-2</v>
      </c>
      <c r="E41" s="4">
        <f>AB34</f>
        <v>3.6670000000000001E-2</v>
      </c>
      <c r="F41" s="21"/>
      <c r="G41" s="21">
        <f>$W$8</f>
        <v>1E-3</v>
      </c>
      <c r="H41" s="21"/>
      <c r="I41" s="4">
        <f>AA34</f>
        <v>3.4669999999999999E-2</v>
      </c>
      <c r="J41" s="4">
        <f>AA34</f>
        <v>3.4669999999999999E-2</v>
      </c>
      <c r="K41" s="21">
        <f>W9</f>
        <v>4.4999999999999997E-3</v>
      </c>
      <c r="L41" s="21"/>
      <c r="M41" s="21"/>
      <c r="N41" s="8">
        <f>W7</f>
        <v>1.4E-2</v>
      </c>
      <c r="O41" s="8">
        <f>W10</f>
        <v>0.01</v>
      </c>
      <c r="P41" s="21">
        <f>Q40/P40</f>
        <v>2.8150699229916448E-2</v>
      </c>
      <c r="R41" s="8">
        <f>W10</f>
        <v>0.01</v>
      </c>
    </row>
    <row r="42" spans="2:28" hidden="1" x14ac:dyDescent="0.2">
      <c r="B42" s="16" t="s">
        <v>723</v>
      </c>
      <c r="C42" s="9">
        <f>C29/Z29</f>
        <v>6.6666666666666666E-2</v>
      </c>
      <c r="D42" s="9">
        <f>D29/Z29</f>
        <v>6.6666666666666666E-2</v>
      </c>
      <c r="E42" s="9">
        <f>E29/Z29</f>
        <v>6.6666666666666666E-2</v>
      </c>
      <c r="F42" s="14"/>
      <c r="G42" s="14"/>
      <c r="H42" s="14"/>
      <c r="I42" s="50">
        <f>I29/Z29</f>
        <v>-6.6666666666666666E-2</v>
      </c>
      <c r="J42" s="50">
        <f>J29/Z29</f>
        <v>-6.6666666666666666E-2</v>
      </c>
      <c r="K42" s="14"/>
      <c r="L42" s="14"/>
      <c r="M42" s="14"/>
      <c r="N42" s="64">
        <f>SUM(-C42,-D42)</f>
        <v>-0.13333333333333333</v>
      </c>
      <c r="O42" s="14">
        <f>-SUM(C42,D42,E42,I42,J42,N42)</f>
        <v>6.6666666666666638E-2</v>
      </c>
      <c r="P42" s="24">
        <f>SUM(P40,R42)</f>
        <v>1.2761050853173532</v>
      </c>
      <c r="Q42" s="25">
        <f>SUM((SUM(C29,-C30,-C32,-C34,-C36,-C38,-C40,-C42)*C43),(SUM(D29,-D30,-D32,-D34,-D36,-D38,-D40,-D42)*D43),(SUM(E29,-E30,-E32,-E34,-E36,-E38,-E40,-E42)*E43),(F29*F43),(SUM(G29,-G30)*G43),(H29*H43),(SUM(I29,-I30,-I32,-I34,-I36,-I38,-I40,-I42)*I43),(SUM(J29,-J30,-J32,-J34,-J36,-J38,-J40,-J42)*J43),(SUM(K29,-K30)*K43),(L29*L43),(M29*M43),(SUM(-N30,-N32,-N34,-N36,-N38,-N40,-N42)*N43),(SUM(-O30,-O32,-O34,-O36,-O38,-O40,-O42)*O43),(R30*R31),(R32*R33),(R34*R35),(R36*R37),(R38*R39),(R40*R41))</f>
        <v>3.356979732437422E-2</v>
      </c>
      <c r="R42" s="24">
        <f>SUM(C42,D42,N42,Q42)</f>
        <v>3.356979732437422E-2</v>
      </c>
      <c r="S42" s="24">
        <f>SUM((SUM(I29,-I30,-I32,-I34,-I36,-I38,-I40,-I42)*I43),(SUM(J29,-J30,-J32,-J34,-J36,-J38,-J40,-J42)*J43),(SUM(K29,-K30)*K43),(SUM(-O30,-O32,-O34,-O36,-O38,-O40,-O42)*O43),(SUM(R30,R32,R34,R36,R38,R40)*R41))</f>
        <v>-4.4030202675625768E-2</v>
      </c>
      <c r="T42" s="51">
        <f>SUM((SUM(C29,-C30,-C32,-C34,-C36,-C38,-C40,-C42)*C43),(SUM(D29,-D30,-D32,-D34,-D36,-D38,-D40,-D42)*D43),(SUM(E29,-E30,-E32,-E34,-E36,-E38,-E40,-E42)*E43),(SUM(G29,-G30)*G43),(SUM(-N30,-N32,-N34,-N36,-N38,-N40,-N42)*N43))</f>
        <v>7.7600000000000002E-2</v>
      </c>
      <c r="U42" s="24"/>
    </row>
    <row r="43" spans="2:28" hidden="1" x14ac:dyDescent="0.2">
      <c r="B43" s="16" t="s">
        <v>724</v>
      </c>
      <c r="C43" s="4">
        <f>AB35</f>
        <v>3.6333333333333329E-2</v>
      </c>
      <c r="D43" s="4">
        <f>AB35</f>
        <v>3.6333333333333329E-2</v>
      </c>
      <c r="E43" s="4">
        <f>AB35</f>
        <v>3.6333333333333329E-2</v>
      </c>
      <c r="F43" s="21"/>
      <c r="G43" s="21">
        <f>$W$8</f>
        <v>1E-3</v>
      </c>
      <c r="H43" s="21"/>
      <c r="I43" s="4">
        <f>AA35</f>
        <v>3.4333333333333327E-2</v>
      </c>
      <c r="J43" s="4">
        <f>AA35</f>
        <v>3.4333333333333327E-2</v>
      </c>
      <c r="K43" s="21">
        <f>W9</f>
        <v>4.4999999999999997E-3</v>
      </c>
      <c r="L43" s="21"/>
      <c r="M43" s="21"/>
      <c r="N43" s="8">
        <f>W7</f>
        <v>1.4E-2</v>
      </c>
      <c r="O43" s="8">
        <f>W10</f>
        <v>0.01</v>
      </c>
      <c r="P43" s="21">
        <f>Q42/P42</f>
        <v>2.6306452117950602E-2</v>
      </c>
      <c r="R43" s="8">
        <f>W10</f>
        <v>0.01</v>
      </c>
    </row>
    <row r="44" spans="2:28" hidden="1" x14ac:dyDescent="0.2">
      <c r="B44" s="16" t="s">
        <v>57</v>
      </c>
      <c r="C44" s="9">
        <f>C29/Z29</f>
        <v>6.6666666666666666E-2</v>
      </c>
      <c r="D44" s="9">
        <f>D29/Z29</f>
        <v>6.6666666666666666E-2</v>
      </c>
      <c r="E44" s="9">
        <f>E29/Z29</f>
        <v>6.6666666666666666E-2</v>
      </c>
      <c r="F44" s="14"/>
      <c r="G44" s="14"/>
      <c r="H44" s="14"/>
      <c r="I44" s="50">
        <f>I29/Z29</f>
        <v>-6.6666666666666666E-2</v>
      </c>
      <c r="J44" s="50">
        <f>J29/Z29</f>
        <v>-6.6666666666666666E-2</v>
      </c>
      <c r="K44" s="14"/>
      <c r="L44" s="14"/>
      <c r="M44" s="14"/>
      <c r="N44" s="64">
        <f>SUM(-C44,-D44)</f>
        <v>-0.13333333333333333</v>
      </c>
      <c r="O44" s="14">
        <f>-SUM(C44,D44,E44,I44,J44,N44)</f>
        <v>6.6666666666666638E-2</v>
      </c>
      <c r="P44" s="24">
        <f>SUM(P42,R44)</f>
        <v>1.3078994695038602</v>
      </c>
      <c r="Q44" s="25">
        <f>SUM((SUM(C29,-C30,-C32,-C34,-C36,-C38,-C40,-C42,-C44)*C45),(SUM(D29,-D30,-D32,-D34,-D36,-D38,-D40,-D42,-D44)*D45),(SUM(E29,-E30,-E32,-E34,-E36,-E38,-E40,-E42,-E44)*E45),(F29*F45),(SUM(G29,-G30)*G45),(H29*H45),(SUM(I29,-I30,-I32,-I34,-I36,-I38,-I40,-I42,-I44)*I45),(SUM(J29,-J30,-J32,-J34,-J36,-J38,-J40,-J42,-J44)*J45),(SUM(K29,-K30)*K45),(L29*L45),(M29*M45),(SUM(-N30,-N32,-N34,-N36,-N38,-N40,-N42,-N44)*N45),(SUM(-O30,-O32,-O34,-O36,-O38,-O40,-O42,-O44)*O45),(R30*R31),(R32*R33),(R34*R35),(R36*R37),(R38*R39),(R40*R41),(R42*R43))</f>
        <v>3.1794384186506874E-2</v>
      </c>
      <c r="R44" s="24">
        <f>SUM(C44,D44,N44,Q44)</f>
        <v>3.1794384186506874E-2</v>
      </c>
      <c r="S44" s="24">
        <f>SUM((SUM(I29,-I30,-I32,-I34,-I36,-I38,-I40,-I42,-I44)*I45),(SUM(J29,-J30,-J32,-J34,-J36,-J38,-J40,-J42,-J44)*J45),(SUM(K29,-K30)*K45),(SUM(-O30,-O32,-O34,-O36,-O38,-O40,-O42,-O44)*O45),(SUM(R30,R32,R34,R36,R38,R40,R42)*R43))</f>
        <v>-3.8912282480159807E-2</v>
      </c>
      <c r="T44" s="51">
        <f>SUM((SUM(C29,-C30,-C32,-C34,-C36,-C38,-C40,-C42,-C44)*C45),(SUM(D29,-D30,-D32,-D34,-D36,-D38,-D40,-D42,-D44)*D45),(SUM(E29,-E30,-E32,-E34,-E36,-E38,-E40,-E42,-E44)*E45),(SUM(G29,-G30)*G45),(SUM(-N30,-N32,-N34,-N36,-N38,-N40,-N42,-N44)*N45))</f>
        <v>7.0706666666666682E-2</v>
      </c>
      <c r="U44" s="24"/>
    </row>
    <row r="45" spans="2:28" hidden="1" x14ac:dyDescent="0.2">
      <c r="B45" s="16" t="s">
        <v>51</v>
      </c>
      <c r="C45" s="4">
        <f>AB36</f>
        <v>3.5400000000000001E-2</v>
      </c>
      <c r="D45" s="4">
        <f>AB36</f>
        <v>3.5400000000000001E-2</v>
      </c>
      <c r="E45" s="4">
        <f>AB36</f>
        <v>3.5400000000000001E-2</v>
      </c>
      <c r="F45" s="21"/>
      <c r="G45" s="21">
        <f>$W$8</f>
        <v>1E-3</v>
      </c>
      <c r="H45" s="21"/>
      <c r="I45" s="4">
        <f>AA36</f>
        <v>3.3399999999999999E-2</v>
      </c>
      <c r="J45" s="4">
        <f>AA36</f>
        <v>3.3399999999999999E-2</v>
      </c>
      <c r="K45" s="21">
        <f>W9</f>
        <v>4.4999999999999997E-3</v>
      </c>
      <c r="L45" s="21"/>
      <c r="M45" s="21"/>
      <c r="N45" s="8">
        <f>W7</f>
        <v>1.4E-2</v>
      </c>
      <c r="O45" s="8">
        <f>W10</f>
        <v>0.01</v>
      </c>
      <c r="P45" s="21">
        <f>Q44/P44</f>
        <v>2.4309501554097109E-2</v>
      </c>
      <c r="R45" s="8">
        <f>W10</f>
        <v>0.01</v>
      </c>
    </row>
    <row r="46" spans="2:28" hidden="1" x14ac:dyDescent="0.2">
      <c r="B46" s="16" t="s">
        <v>195</v>
      </c>
      <c r="C46" s="9">
        <f>C29/Z29</f>
        <v>6.6666666666666666E-2</v>
      </c>
      <c r="D46" s="9">
        <f>D29/Z29</f>
        <v>6.6666666666666666E-2</v>
      </c>
      <c r="E46" s="9">
        <f>E29/Z29</f>
        <v>6.6666666666666666E-2</v>
      </c>
      <c r="F46" s="14"/>
      <c r="G46" s="14"/>
      <c r="H46" s="14"/>
      <c r="I46" s="50">
        <f>I29/Z29</f>
        <v>-6.6666666666666666E-2</v>
      </c>
      <c r="J46" s="50">
        <f>J29/Z29</f>
        <v>-6.6666666666666666E-2</v>
      </c>
      <c r="K46" s="14"/>
      <c r="L46" s="14"/>
      <c r="M46" s="14"/>
      <c r="N46" s="64">
        <f>SUM(-C46,-D46)</f>
        <v>-0.13333333333333333</v>
      </c>
      <c r="O46" s="14">
        <f>-SUM(C46,D46,E46,I46,J46,N46)</f>
        <v>6.6666666666666638E-2</v>
      </c>
      <c r="P46" s="24">
        <f>SUM(P44,R46)</f>
        <v>1.3374279880084226</v>
      </c>
      <c r="Q46" s="25">
        <f>SUM((SUM(C29,-C30,-C32,-C34,-C36,-C38,-C40,-C42,-C44,-C46)*C47),(SUM(D29,-D30,-D32,-D34,-D36,-D38,-D40,-D42,-D44,-D46)*D47),(SUM(E29,-E30,-E32,-E34,-E36,-E38,-E40,-E42,-E44,-E46)*E47),(F29*F47),(SUM(G29,-G30)*G47),(H29*H47),(SUM(I29,-I30,-I32,-I34,-I36,-I38,-I40,-I42,-I44,-I46)*I47),(SUM(J29,-J30,-J32,-J34,-J36,-J38,-J40,-J42,-J44,-J46)*J47),(SUM(K29,-K30)*K47),(L29*L47),(M29*M47),(SUM(-N30,-N32,-N34,-N36,-N38,-N40,-N42,-N44,-N46)*N47),(SUM(-O30,-O32,-O34,-O36,-O38,-O40,-O42,-O44,-O46)*O47),(R30*R31),(R32*R33),(R34*R35),(R36*R37),(R38*R39),(R40*R41),(R42*R43),(R44*R45))</f>
        <v>2.9528518504562416E-2</v>
      </c>
      <c r="R46" s="24">
        <f>SUM(C46,D46,N46,Q46)</f>
        <v>2.9528518504562416E-2</v>
      </c>
      <c r="S46" s="24">
        <f>SUM((SUM(I29,-I30,-I32,-I34,-I36,-I38,-I40,-I42,-I44,-I46)*I47),(SUM(J29,-J30,-J32,-J34,-J36,-J38,-J40,-J42,-J44,-J46)*J47),(SUM(K29,-K30)*K47),(SUM(-O30,-O32,-O34,-O36,-O38,-O40,-O42,-O44,-O46)*O47),(SUM(R30,R32,R34,R36,R38,R40,R42,R44)*R45))</f>
        <v>-3.3264814828770924E-2</v>
      </c>
      <c r="T46" s="51">
        <f>SUM((SUM(C29,-C30,-C32,-C34,-C36,-C38,-C40,-C42,-C44,-C46)*C47),(SUM(D29,-D30,-D32,-D34,-D36,-D38,-D40,-D42,-D44,-D46)*D47),(SUM(E29,-E30,-E32,-E34,-E36,-E38,-E40,-E42,-E44,-E46)*E47),(SUM(G29-G30)*G47),(SUM(-N30,-N32,-N34,-N36,-N38,-N40,-N42,-N44,-N46)*N47))</f>
        <v>6.279333333333334E-2</v>
      </c>
      <c r="U46" s="24"/>
    </row>
    <row r="47" spans="2:28" hidden="1" x14ac:dyDescent="0.2">
      <c r="B47" s="16" t="s">
        <v>196</v>
      </c>
      <c r="C47" s="4">
        <f>AB37</f>
        <v>3.3471428571428569E-2</v>
      </c>
      <c r="D47" s="4">
        <f>AB37</f>
        <v>3.3471428571428569E-2</v>
      </c>
      <c r="E47" s="4">
        <f>AB37</f>
        <v>3.3471428571428569E-2</v>
      </c>
      <c r="F47" s="21"/>
      <c r="G47" s="21">
        <f>$W$8</f>
        <v>1E-3</v>
      </c>
      <c r="H47" s="21"/>
      <c r="I47" s="4">
        <f>AA37</f>
        <v>3.1471428571428567E-2</v>
      </c>
      <c r="J47" s="4">
        <f>AA37</f>
        <v>3.1471428571428567E-2</v>
      </c>
      <c r="K47" s="21">
        <f>W9</f>
        <v>4.4999999999999997E-3</v>
      </c>
      <c r="L47" s="21"/>
      <c r="M47" s="21"/>
      <c r="N47" s="8">
        <f>W7</f>
        <v>1.4E-2</v>
      </c>
      <c r="O47" s="8">
        <f>W10</f>
        <v>0.01</v>
      </c>
      <c r="P47" s="21">
        <f>Q46/P46</f>
        <v>2.2078585740181518E-2</v>
      </c>
      <c r="R47" s="8">
        <f>W10</f>
        <v>0.01</v>
      </c>
    </row>
    <row r="48" spans="2:28" hidden="1" x14ac:dyDescent="0.2">
      <c r="B48" s="16" t="s">
        <v>725</v>
      </c>
      <c r="C48" s="9">
        <f>C29/Z29</f>
        <v>6.6666666666666666E-2</v>
      </c>
      <c r="D48" s="9">
        <f>D29/Z29</f>
        <v>6.6666666666666666E-2</v>
      </c>
      <c r="E48" s="9">
        <f>E29/Z29</f>
        <v>6.6666666666666666E-2</v>
      </c>
      <c r="F48" s="3"/>
      <c r="G48" s="3"/>
      <c r="H48" s="3"/>
      <c r="I48" s="50">
        <f>I29/Z29</f>
        <v>-6.6666666666666666E-2</v>
      </c>
      <c r="J48" s="50">
        <f>J29/Z29</f>
        <v>-6.6666666666666666E-2</v>
      </c>
      <c r="K48" s="3"/>
      <c r="L48" s="3"/>
      <c r="M48" s="3"/>
      <c r="N48" s="64">
        <f>SUM(-C48,-D48)</f>
        <v>-0.13333333333333333</v>
      </c>
      <c r="O48" s="14">
        <f>-SUM(C48,D48,E48,I48,J48,N48)</f>
        <v>6.6666666666666638E-2</v>
      </c>
      <c r="P48" s="24">
        <f>SUM(P46,R48)</f>
        <v>1.3646356012218401</v>
      </c>
      <c r="Q48" s="25">
        <f>SUM((SUM(C29,-C30,-C32,-C34,-C36,-C38,-C40,-C42,-C44,-C46,-C48)*C49),(SUM(D29,-D30,-D32,-D34,-D36,-D38,-D40,-D42,-D44,-D46,-D48)*D49),(SUM(E29,-E30,-E32,-E34,-E36,-E38,-E40,-E42,-E44,-E46,-E48)*E49),(F29*F49),(SUM(G29,-G30)*G49),(H29*H49),(SUM(I29,-I30,-I32,-I34,-I36,-I38,-I40,-I42,-I44,-I46,-I48)*I49),(SUM(J29,-J30,-J32,-J34,-J36,-J38,-J40,-J42,-J44,-J46,-J48)*J49),(SUM(K29,-K30)*K49),(L29*L49),(M29*M49),(SUM(-N30,-N32,-N34,-N36,-N38,-N40,-N42,-N44,-N46,-N48)*N49),(SUM(-O30,-O32,-O34,-O36,-O38,-O40,-O42,-O44,-O46,-O48)*O49),(R30*R31),(R32*R33),(R34*R35),(R36*R37),(R38*R39),(R40*R41),(R42*R43),(R44*R45),(R46*R47))</f>
        <v>2.7207613213417563E-2</v>
      </c>
      <c r="R48" s="24">
        <f>SUM(C48,D48,N48,Q48)</f>
        <v>2.7207613213417563E-2</v>
      </c>
      <c r="S48" s="24">
        <f>SUM((SUM(I29,-I30,-I32,-I34,-I36,-I38,-I40,-I42,-I44,-I46,-I48)*I49),(SUM(J29,-J30,-J32,-J34,-J36,-J38,-J40,-J42,-J44,-J46,-J48)*J49),(SUM(K29,-K30)*K49),(SUM(-O30,-O32,-O34,-O36,-O38,-O40,-O42,-O44,-O46,-O48)*O49),(SUM(R30,R32,R34,R36,R38,R40,R42,R44,R46)*R47))</f>
        <v>-2.7792386786582447E-2</v>
      </c>
      <c r="T48" s="51">
        <f>SUM((SUM(C29,-C30,-C32,-C34,-C36,-C38,-C40,-C42,-C44,-C46,-C48)*C49),(SUM(D29,-D30,-D32,-D34,-D36,-D38,-D40,-D42,-D44,-D46,-D48)*D49),(SUM(E29,-E30,-E32,-E34,-E36,-E38,-E40,-E42,-E44,-E46,-E48)*E49),(SUM(G29,-G30)*G49),(SUM(-N30,-N32,-N34,-N36,-N38,-N40,-N42,-N44,-N46,-N48)*N49))</f>
        <v>5.5000000000000007E-2</v>
      </c>
      <c r="U48" s="24"/>
    </row>
    <row r="49" spans="1:26" hidden="1" x14ac:dyDescent="0.2">
      <c r="B49" s="16" t="s">
        <v>726</v>
      </c>
      <c r="C49" s="4">
        <f>AB38</f>
        <v>3.1E-2</v>
      </c>
      <c r="D49" s="4">
        <f>AB38</f>
        <v>3.1E-2</v>
      </c>
      <c r="E49" s="4">
        <f>AB38</f>
        <v>3.1E-2</v>
      </c>
      <c r="F49" s="21"/>
      <c r="G49" s="21">
        <f>$W$8</f>
        <v>1E-3</v>
      </c>
      <c r="H49" s="21"/>
      <c r="I49" s="4">
        <f>AA38</f>
        <v>2.9000000000000001E-2</v>
      </c>
      <c r="J49" s="4">
        <f>AA38</f>
        <v>2.9000000000000001E-2</v>
      </c>
      <c r="K49" s="21">
        <f>W9</f>
        <v>4.4999999999999997E-3</v>
      </c>
      <c r="L49" s="21"/>
      <c r="M49" s="21"/>
      <c r="N49" s="8">
        <f>W7</f>
        <v>1.4E-2</v>
      </c>
      <c r="O49" s="8">
        <f>W10</f>
        <v>0.01</v>
      </c>
      <c r="P49" s="21">
        <f>Q48/P48</f>
        <v>1.9937639901125952E-2</v>
      </c>
    </row>
    <row r="50" spans="1:26" s="5" customFormat="1" hidden="1" x14ac:dyDescent="0.2">
      <c r="C50" s="9"/>
      <c r="D50" s="9"/>
      <c r="E50" s="9"/>
      <c r="F50" s="9"/>
      <c r="G50" s="9"/>
      <c r="H50" s="9"/>
      <c r="I50" s="9"/>
      <c r="J50" s="9"/>
      <c r="K50" s="9"/>
      <c r="L50" s="9"/>
      <c r="M50" s="9"/>
      <c r="N50" s="14"/>
      <c r="O50" s="3"/>
      <c r="P50" s="14"/>
      <c r="Q50" s="3"/>
      <c r="R50" s="3"/>
      <c r="S50" s="3"/>
      <c r="T50" s="3"/>
      <c r="U50" s="3"/>
      <c r="V50" s="3"/>
      <c r="Z50" s="16"/>
    </row>
    <row r="51" spans="1:26" s="3" customFormat="1" ht="14.25" hidden="1" customHeight="1" x14ac:dyDescent="0.2">
      <c r="A51" s="2" t="s">
        <v>79</v>
      </c>
      <c r="P51" s="14"/>
      <c r="Z51" s="5"/>
    </row>
    <row r="52" spans="1:26" s="3" customFormat="1" hidden="1" x14ac:dyDescent="0.2">
      <c r="C52" s="3" t="s">
        <v>44</v>
      </c>
      <c r="D52" s="3" t="s">
        <v>45</v>
      </c>
      <c r="E52" s="3" t="s">
        <v>46</v>
      </c>
      <c r="F52" s="3" t="s">
        <v>166</v>
      </c>
      <c r="G52" s="3" t="s">
        <v>167</v>
      </c>
      <c r="H52" s="3" t="s">
        <v>32</v>
      </c>
      <c r="I52" s="3" t="s">
        <v>47</v>
      </c>
      <c r="J52" s="3" t="s">
        <v>48</v>
      </c>
      <c r="K52" s="3" t="s">
        <v>35</v>
      </c>
      <c r="L52" s="3" t="s">
        <v>43</v>
      </c>
      <c r="M52" s="3" t="s">
        <v>33</v>
      </c>
      <c r="N52" s="3" t="s">
        <v>53</v>
      </c>
      <c r="O52" s="3" t="s">
        <v>54</v>
      </c>
      <c r="P52" s="3" t="s">
        <v>55</v>
      </c>
      <c r="Q52" s="3" t="s">
        <v>56</v>
      </c>
      <c r="R52" s="3" t="s">
        <v>84</v>
      </c>
      <c r="S52" s="3" t="s">
        <v>199</v>
      </c>
      <c r="T52" s="3" t="s">
        <v>159</v>
      </c>
    </row>
    <row r="53" spans="1:26" s="3" customFormat="1" hidden="1" x14ac:dyDescent="0.2">
      <c r="B53" s="3" t="s">
        <v>711</v>
      </c>
      <c r="C53" s="14">
        <f t="shared" ref="C53:D55" si="3">C29</f>
        <v>1</v>
      </c>
      <c r="D53" s="14">
        <f t="shared" si="3"/>
        <v>1</v>
      </c>
      <c r="E53" s="14">
        <f t="shared" ref="E53:M53" si="4">E29</f>
        <v>1</v>
      </c>
      <c r="F53" s="14">
        <f t="shared" si="4"/>
        <v>1</v>
      </c>
      <c r="G53" s="14">
        <f t="shared" si="4"/>
        <v>1</v>
      </c>
      <c r="H53" s="14">
        <f t="shared" si="4"/>
        <v>1</v>
      </c>
      <c r="I53" s="63">
        <f t="shared" si="4"/>
        <v>-1</v>
      </c>
      <c r="J53" s="63">
        <f t="shared" si="4"/>
        <v>-1</v>
      </c>
      <c r="K53" s="63">
        <f t="shared" si="4"/>
        <v>-1</v>
      </c>
      <c r="L53" s="63">
        <f t="shared" si="4"/>
        <v>-1</v>
      </c>
      <c r="M53" s="63">
        <f t="shared" si="4"/>
        <v>-1</v>
      </c>
      <c r="N53" s="24"/>
      <c r="O53" s="24"/>
      <c r="P53" s="24">
        <f>SUM(C53:O53)</f>
        <v>1</v>
      </c>
      <c r="Q53" s="24"/>
      <c r="R53" s="24"/>
    </row>
    <row r="54" spans="1:26" s="3" customFormat="1" hidden="1" x14ac:dyDescent="0.2">
      <c r="B54" s="3" t="s">
        <v>190</v>
      </c>
      <c r="C54" s="14">
        <f t="shared" si="3"/>
        <v>0</v>
      </c>
      <c r="D54" s="14">
        <f t="shared" si="3"/>
        <v>0</v>
      </c>
      <c r="E54" s="14">
        <f t="shared" ref="E54:E61" si="5">E30</f>
        <v>0</v>
      </c>
      <c r="F54" s="14">
        <f>F30</f>
        <v>0</v>
      </c>
      <c r="G54" s="14">
        <f>G30</f>
        <v>0</v>
      </c>
      <c r="H54" s="14">
        <f>H30</f>
        <v>0</v>
      </c>
      <c r="I54" s="63">
        <f t="shared" ref="I54:J56" si="6">I30</f>
        <v>-6.6666666666666666E-2</v>
      </c>
      <c r="J54" s="63">
        <f t="shared" si="6"/>
        <v>-6.6666666666666666E-2</v>
      </c>
      <c r="K54" s="14">
        <f>K30</f>
        <v>0</v>
      </c>
      <c r="L54" s="14">
        <f>L30</f>
        <v>0</v>
      </c>
      <c r="M54" s="14">
        <f>M30</f>
        <v>0</v>
      </c>
      <c r="N54" s="64">
        <f>SUM(-Balansprognose!C41,-Balansprognose!C42,-Balansprognose!C43)</f>
        <v>0</v>
      </c>
      <c r="O54" s="14">
        <f>-SUM(C54,D54,E54,F54,G54,H54,I54,J54,K54,L54,M54,N54)</f>
        <v>0.13333333333333333</v>
      </c>
      <c r="P54" s="24">
        <f>SUM(P53,R54)</f>
        <v>1.0466057777777777</v>
      </c>
      <c r="Q54" s="24">
        <f>SUM(S54,T54)</f>
        <v>4.6605777777777788E-2</v>
      </c>
      <c r="R54" s="24">
        <f>SUM(C54,D54,E54,F54,G54,H54,I54,J54,K54,L54,M54,N54,O54,Q54)</f>
        <v>4.6605777777777788E-2</v>
      </c>
      <c r="S54" s="24">
        <f>SUM((SUM(I53,-I54)*I55),(SUM(J53,-J54)*J55),(SUM(K53,-K54)*K55),(-O54*O55))</f>
        <v>-9.0674222222222225E-2</v>
      </c>
      <c r="T54" s="51">
        <f>SUM((SUM(C53,-C54)*C55),(SUM(D53,-D54)*D55),(SUM(E53,-E54)*E55),(SUM(G53,-G54)*G55),(-N54*N55))</f>
        <v>0.13728000000000001</v>
      </c>
      <c r="U54" s="217"/>
    </row>
    <row r="55" spans="1:26" s="3" customFormat="1" hidden="1" x14ac:dyDescent="0.2">
      <c r="B55" s="3" t="s">
        <v>716</v>
      </c>
      <c r="C55" s="21">
        <f t="shared" si="3"/>
        <v>4.2093333333333337E-2</v>
      </c>
      <c r="D55" s="21">
        <f t="shared" si="3"/>
        <v>4.2093333333333337E-2</v>
      </c>
      <c r="E55" s="21">
        <f t="shared" si="5"/>
        <v>4.2093333333333337E-2</v>
      </c>
      <c r="F55" s="21">
        <f>F31</f>
        <v>0</v>
      </c>
      <c r="G55" s="21">
        <f>SUM(W8,W21)</f>
        <v>1.0999999999999999E-2</v>
      </c>
      <c r="H55" s="21">
        <f>H31</f>
        <v>0</v>
      </c>
      <c r="I55" s="21">
        <f>I31</f>
        <v>4.0093333333333335E-2</v>
      </c>
      <c r="J55" s="21">
        <f>J31</f>
        <v>4.0093333333333335E-2</v>
      </c>
      <c r="K55" s="21">
        <f>SUM(W9,W21)</f>
        <v>1.4499999999999999E-2</v>
      </c>
      <c r="L55" s="21">
        <f>L31</f>
        <v>0</v>
      </c>
      <c r="M55" s="21">
        <f>M31</f>
        <v>0</v>
      </c>
      <c r="N55" s="8">
        <f>W7</f>
        <v>1.4E-2</v>
      </c>
      <c r="O55" s="8">
        <f>W10</f>
        <v>0.01</v>
      </c>
      <c r="P55" s="21">
        <f>Q54/P54</f>
        <v>4.4530403679534661E-2</v>
      </c>
      <c r="R55" s="8">
        <f>W10</f>
        <v>0.01</v>
      </c>
    </row>
    <row r="56" spans="1:26" s="3" customFormat="1" hidden="1" x14ac:dyDescent="0.2">
      <c r="B56" s="3" t="s">
        <v>727</v>
      </c>
      <c r="C56" s="14">
        <f>SUM(C32*X19,C53*W19)</f>
        <v>0.16</v>
      </c>
      <c r="D56" s="14">
        <f>SUM(D32*X20,D53*W20)</f>
        <v>0.16</v>
      </c>
      <c r="E56" s="14">
        <f t="shared" si="5"/>
        <v>6.6666666666666666E-2</v>
      </c>
      <c r="F56" s="14"/>
      <c r="G56" s="14"/>
      <c r="H56" s="14"/>
      <c r="I56" s="63">
        <f t="shared" si="6"/>
        <v>-6.6666666666666666E-2</v>
      </c>
      <c r="J56" s="63">
        <f t="shared" si="6"/>
        <v>-6.6666666666666666E-2</v>
      </c>
      <c r="K56" s="14"/>
      <c r="L56" s="14"/>
      <c r="M56" s="14"/>
      <c r="N56" s="64">
        <f>SUM(-C32*X19,-D32*X20)</f>
        <v>-0.12</v>
      </c>
      <c r="O56" s="14">
        <f>-SUM(C56,-C53*W19,D56,-D53*W20,E56,I56,J56,N56)</f>
        <v>6.666666666666668E-2</v>
      </c>
      <c r="P56" s="24">
        <f>SUM(P54,R56)</f>
        <v>0.88316212126984117</v>
      </c>
      <c r="Q56" s="24">
        <f>SUM(S56,T56)</f>
        <v>3.6556343492063464E-2</v>
      </c>
      <c r="R56" s="24">
        <f>SUM(C56,-C53*W19*2,D56,-D53*W20*2,N56,Q56)</f>
        <v>-0.16344365650793655</v>
      </c>
      <c r="S56" s="24">
        <f>SUM((SUM(I53,-I54,-I56)*I57),(SUM(J53,-J54,-J56)*J57),(SUM(K53,-K54)*K57),(-O54*O55),(-O56*O57),(R54*R55))</f>
        <v>-9.3966323174603184E-2</v>
      </c>
      <c r="T56" s="51">
        <f>SUM((SUM(C53,-C54,-C56)*C57),(SUM(D53,-D54,-D56)*D57),(SUM(E53,-E54,-E56)*E57),(SUM(G53,-G54)*G57),(-N54*N55),(-N56*N57))</f>
        <v>0.13052266666666665</v>
      </c>
      <c r="U56" s="217"/>
    </row>
    <row r="57" spans="1:26" s="3" customFormat="1" hidden="1" x14ac:dyDescent="0.2">
      <c r="B57" s="3" t="s">
        <v>728</v>
      </c>
      <c r="C57" s="21">
        <f>C33</f>
        <v>4.0807142857142854E-2</v>
      </c>
      <c r="D57" s="21">
        <f>D33</f>
        <v>4.0807142857142854E-2</v>
      </c>
      <c r="E57" s="21">
        <f t="shared" si="5"/>
        <v>4.0807142857142854E-2</v>
      </c>
      <c r="F57" s="21">
        <f>F33</f>
        <v>0</v>
      </c>
      <c r="G57" s="21">
        <f>SUM(W8,W22)</f>
        <v>2.1000000000000001E-2</v>
      </c>
      <c r="H57" s="21">
        <f>H33</f>
        <v>0</v>
      </c>
      <c r="I57" s="21">
        <f>I33</f>
        <v>3.8807142857142853E-2</v>
      </c>
      <c r="J57" s="21">
        <f>J33</f>
        <v>3.8807142857142853E-2</v>
      </c>
      <c r="K57" s="21">
        <f>SUM(W9,W22)</f>
        <v>2.4500000000000001E-2</v>
      </c>
      <c r="L57" s="21">
        <f>L33</f>
        <v>0</v>
      </c>
      <c r="M57" s="21">
        <f>M33</f>
        <v>0</v>
      </c>
      <c r="N57" s="8">
        <f>SUM(W7,W21)</f>
        <v>2.4E-2</v>
      </c>
      <c r="O57" s="8">
        <f>SUM(W10,W21)</f>
        <v>0.02</v>
      </c>
      <c r="P57" s="21">
        <f>Q56/P56</f>
        <v>4.1392562714874459E-2</v>
      </c>
      <c r="Q57" s="14"/>
      <c r="R57" s="8">
        <f>SUM(W10,W21)</f>
        <v>0.02</v>
      </c>
    </row>
    <row r="58" spans="1:26" s="3" customFormat="1" hidden="1" x14ac:dyDescent="0.2">
      <c r="B58" s="3" t="s">
        <v>718</v>
      </c>
      <c r="C58" s="14">
        <f>C34*X19</f>
        <v>0.06</v>
      </c>
      <c r="D58" s="14">
        <f>D34*X20</f>
        <v>0.06</v>
      </c>
      <c r="E58" s="14">
        <f t="shared" si="5"/>
        <v>6.6666666666666666E-2</v>
      </c>
      <c r="F58" s="14"/>
      <c r="G58" s="14"/>
      <c r="H58" s="14"/>
      <c r="I58" s="63">
        <f t="shared" ref="I58:I72" si="7">I34</f>
        <v>-6.6666666666666666E-2</v>
      </c>
      <c r="J58" s="63">
        <f t="shared" ref="J58:J63" si="8">J34</f>
        <v>-6.6666666666666666E-2</v>
      </c>
      <c r="K58" s="14"/>
      <c r="L58" s="14"/>
      <c r="M58" s="14"/>
      <c r="N58" s="64">
        <f>SUM(-C58,-D58)</f>
        <v>-0.12</v>
      </c>
      <c r="O58" s="14">
        <f>-SUM(C58,D58,E58,I58,J58,N58)</f>
        <v>6.666666666666668E-2</v>
      </c>
      <c r="P58" s="24">
        <f>SUM(P56,R58)</f>
        <v>0.91514587002002434</v>
      </c>
      <c r="Q58" s="24">
        <f>SUM(S58,T58)</f>
        <v>3.1983748750183116E-2</v>
      </c>
      <c r="R58" s="24">
        <f>SUM(C58,D58,N58,Q58)</f>
        <v>3.1983748750183116E-2</v>
      </c>
      <c r="S58" s="24">
        <f>SUM((SUM(I53,-I54,-I56,-I58)*I59),(SUM(J53,-J54,-J56,-J58)*J59),(SUM(K53,-K54)*K59),(-O54*O55),(-O56*O57),(-O58*O59),(R54*R55),(R56*R57))</f>
        <v>-0.10224025124981687</v>
      </c>
      <c r="T58" s="51">
        <f>SUM((SUM(C53,-C54,-C56,-C58)*C59),(SUM(D53,-D54,-D56,-D58)*D59),(SUM(E53,-E54,-E56,-E58)*E59),(SUM(G53,-G54)*G59),(-N54*N55),(-N56*N57),(-N58*N59))</f>
        <v>0.13422399999999998</v>
      </c>
      <c r="U58" s="217"/>
    </row>
    <row r="59" spans="1:26" s="3" customFormat="1" hidden="1" x14ac:dyDescent="0.2">
      <c r="B59" s="3" t="s">
        <v>192</v>
      </c>
      <c r="C59" s="21">
        <f>C35</f>
        <v>3.9669230769230769E-2</v>
      </c>
      <c r="D59" s="21">
        <f>D35</f>
        <v>3.9669230769230769E-2</v>
      </c>
      <c r="E59" s="21">
        <f t="shared" si="5"/>
        <v>3.9669230769230769E-2</v>
      </c>
      <c r="F59" s="21">
        <f>F35</f>
        <v>0</v>
      </c>
      <c r="G59" s="21">
        <f>SUM(W8,W23)</f>
        <v>3.1E-2</v>
      </c>
      <c r="H59" s="21">
        <f>H35</f>
        <v>0</v>
      </c>
      <c r="I59" s="21">
        <f>I35</f>
        <v>3.7669230769230767E-2</v>
      </c>
      <c r="J59" s="21">
        <f t="shared" si="8"/>
        <v>3.7669230769230767E-2</v>
      </c>
      <c r="K59" s="21">
        <f>SUM(W9,W23)</f>
        <v>3.4499999999999996E-2</v>
      </c>
      <c r="L59" s="21">
        <f>L35</f>
        <v>0</v>
      </c>
      <c r="M59" s="21">
        <f>M35</f>
        <v>0</v>
      </c>
      <c r="N59" s="8">
        <f>SUM(W7,W22)</f>
        <v>3.4000000000000002E-2</v>
      </c>
      <c r="O59" s="8">
        <f>SUM(W10,W22)</f>
        <v>0.03</v>
      </c>
      <c r="P59" s="21">
        <f>Q58/P58</f>
        <v>3.4949345014782481E-2</v>
      </c>
      <c r="R59" s="8">
        <f>SUM(W10,W22)</f>
        <v>0.03</v>
      </c>
    </row>
    <row r="60" spans="1:26" s="3" customFormat="1" hidden="1" x14ac:dyDescent="0.2">
      <c r="B60" s="3" t="s">
        <v>49</v>
      </c>
      <c r="C60" s="14">
        <f>C36*X19</f>
        <v>0.06</v>
      </c>
      <c r="D60" s="14">
        <f>D36*X20</f>
        <v>0.06</v>
      </c>
      <c r="E60" s="14">
        <f t="shared" si="5"/>
        <v>6.6666666666666666E-2</v>
      </c>
      <c r="F60" s="14"/>
      <c r="G60" s="14"/>
      <c r="H60" s="14"/>
      <c r="I60" s="63">
        <f t="shared" si="7"/>
        <v>-6.6666666666666666E-2</v>
      </c>
      <c r="J60" s="63">
        <f t="shared" si="8"/>
        <v>-6.6666666666666666E-2</v>
      </c>
      <c r="K60" s="14"/>
      <c r="L60" s="14"/>
      <c r="M60" s="14"/>
      <c r="N60" s="64">
        <f>SUM(-C60,-D60)</f>
        <v>-0.12</v>
      </c>
      <c r="O60" s="14">
        <f>-SUM(C60,D60,E60,I60,J60,N60)</f>
        <v>6.666666666666668E-2</v>
      </c>
      <c r="P60" s="24">
        <f>SUM(P58,R60)</f>
        <v>0.94733856713014886</v>
      </c>
      <c r="Q60" s="24">
        <f>SUM(S60,T60)</f>
        <v>3.2192697110124527E-2</v>
      </c>
      <c r="R60" s="24">
        <f>SUM(C60,D60,N60,Q60)</f>
        <v>3.2192697110124527E-2</v>
      </c>
      <c r="S60" s="24">
        <f>SUM((SUM(I53,-I54,-I56,-I58,-I60)*I61),(SUM(J53,-J54,-J56,-J58,-J60)*J61),(SUM(K53,-K54)*K61),(-O54*O55),(-O56*O57),(-O58*O59),(-O60*O61),(R54*R55),(R56*R57),(R58*R59))</f>
        <v>-9.7063302889875455E-2</v>
      </c>
      <c r="T60" s="51">
        <f>SUM((SUM(C53,-C54,-C56,-C58,-C60)*C61),(SUM(D53,-D54,-D56,-D58,-D60)*D61),(SUM(E53,-E54,-E56,-E58,-E60)*E61),(SUM(G53,-G54)*G61),(-N54*N55),(-N56*N57),(-N58*N59),(-N60*N61))</f>
        <v>0.12925599999999998</v>
      </c>
      <c r="U60" s="217"/>
    </row>
    <row r="61" spans="1:26" s="3" customFormat="1" hidden="1" x14ac:dyDescent="0.2">
      <c r="B61" s="3" t="s">
        <v>720</v>
      </c>
      <c r="C61" s="21">
        <f>C37</f>
        <v>3.839999999999999E-2</v>
      </c>
      <c r="D61" s="21">
        <f>D37</f>
        <v>3.839999999999999E-2</v>
      </c>
      <c r="E61" s="21">
        <f t="shared" si="5"/>
        <v>3.839999999999999E-2</v>
      </c>
      <c r="F61" s="21">
        <f>F37</f>
        <v>0</v>
      </c>
      <c r="G61" s="21">
        <f>SUM(W8,W23)</f>
        <v>3.1E-2</v>
      </c>
      <c r="H61" s="21">
        <f>H37</f>
        <v>0</v>
      </c>
      <c r="I61" s="21">
        <f>I37</f>
        <v>3.6399999999999988E-2</v>
      </c>
      <c r="J61" s="21">
        <f t="shared" si="8"/>
        <v>3.6399999999999988E-2</v>
      </c>
      <c r="K61" s="21">
        <f>SUM(W9,W23)</f>
        <v>3.4499999999999996E-2</v>
      </c>
      <c r="L61" s="21">
        <f>L37</f>
        <v>0</v>
      </c>
      <c r="M61" s="21">
        <f>M37</f>
        <v>0</v>
      </c>
      <c r="N61" s="8">
        <f>SUM(W7,W23)</f>
        <v>4.3999999999999997E-2</v>
      </c>
      <c r="O61" s="8">
        <f>SUM(W10,W23)</f>
        <v>0.04</v>
      </c>
      <c r="P61" s="21">
        <f>Q60/P60</f>
        <v>3.3982251147705859E-2</v>
      </c>
      <c r="R61" s="8">
        <f>SUM($W$10,$W$23)</f>
        <v>0.04</v>
      </c>
    </row>
    <row r="62" spans="1:26" s="3" customFormat="1" hidden="1" x14ac:dyDescent="0.2">
      <c r="B62" s="3" t="s">
        <v>193</v>
      </c>
      <c r="C62" s="14">
        <f>C38*X19</f>
        <v>0.06</v>
      </c>
      <c r="D62" s="14">
        <f>D38*X20</f>
        <v>0.06</v>
      </c>
      <c r="E62" s="14">
        <f t="shared" ref="E62:E73" si="9">E38</f>
        <v>6.6666666666666666E-2</v>
      </c>
      <c r="F62" s="14"/>
      <c r="G62" s="14"/>
      <c r="H62" s="14"/>
      <c r="I62" s="63">
        <f t="shared" si="7"/>
        <v>-6.6666666666666666E-2</v>
      </c>
      <c r="J62" s="63">
        <f t="shared" si="8"/>
        <v>-6.6666666666666666E-2</v>
      </c>
      <c r="K62" s="14"/>
      <c r="L62" s="14"/>
      <c r="M62" s="14"/>
      <c r="N62" s="64">
        <f>SUM(-C62,-D62)</f>
        <v>-0.12</v>
      </c>
      <c r="O62" s="14">
        <f>-SUM(C62,D62,E62,I62,J62,N62)</f>
        <v>6.666666666666668E-2</v>
      </c>
      <c r="P62" s="24">
        <f>SUM(P60,R62)</f>
        <v>0.98054163879134504</v>
      </c>
      <c r="Q62" s="25">
        <f>SUM(S62,T62)</f>
        <v>3.3203071661196168E-2</v>
      </c>
      <c r="R62" s="24">
        <f>SUM(C62,D62,N62,Q62)</f>
        <v>3.3203071661196168E-2</v>
      </c>
      <c r="S62" s="24">
        <f>SUM((SUM(I53,-I54,-I56,-I58,-I60,-I62)*I63),(SUM(J53,-J54,-J56,-J58,-J60,-J62)*J63),(SUM(K53,-K54)*K63),(-O54*O55),(-O56*O57),(-O58*O59),(-O60*O61),(-O62*O63),(R54*R55),(R56*R57),(R58*R59),(R60*R61))</f>
        <v>-9.252226167213716E-2</v>
      </c>
      <c r="T62" s="51">
        <f>SUM((SUM(C53,-C54,-C56,-C58,-C60,-C62)*C63),(SUM(D53,-D54,-D56,-D58,-D60,-D62)*D63),(SUM(E53,-E54,-E56,-E58,-E60,-E62)*E63),(SUM(G53,-G54)*G63),(-N54*N55),(-N56*N57),(-N58*N59),(-N60*N61),(-N62*N63))</f>
        <v>0.12572533333333333</v>
      </c>
      <c r="U62" s="217"/>
    </row>
    <row r="63" spans="1:26" s="3" customFormat="1" hidden="1" x14ac:dyDescent="0.2">
      <c r="B63" s="3" t="s">
        <v>50</v>
      </c>
      <c r="C63" s="21">
        <f>C39</f>
        <v>3.7600000000000001E-2</v>
      </c>
      <c r="D63" s="21">
        <f>D39</f>
        <v>3.7600000000000001E-2</v>
      </c>
      <c r="E63" s="21">
        <f t="shared" si="9"/>
        <v>3.7600000000000001E-2</v>
      </c>
      <c r="F63" s="21">
        <f>F39</f>
        <v>0</v>
      </c>
      <c r="G63" s="21">
        <f>SUM(W8,W23)</f>
        <v>3.1E-2</v>
      </c>
      <c r="H63" s="21">
        <f>H39</f>
        <v>0</v>
      </c>
      <c r="I63" s="21">
        <f>I39</f>
        <v>3.56E-2</v>
      </c>
      <c r="J63" s="21">
        <f t="shared" si="8"/>
        <v>3.56E-2</v>
      </c>
      <c r="K63" s="21">
        <f>SUM(W9,W23)</f>
        <v>3.4499999999999996E-2</v>
      </c>
      <c r="L63" s="21">
        <f>L39</f>
        <v>0</v>
      </c>
      <c r="M63" s="21">
        <f>M39</f>
        <v>0</v>
      </c>
      <c r="N63" s="8">
        <f>SUM(W7,W23)</f>
        <v>4.3999999999999997E-2</v>
      </c>
      <c r="O63" s="8">
        <f>SUM(W10,W23)</f>
        <v>0.04</v>
      </c>
      <c r="P63" s="21">
        <f>Q62/P62</f>
        <v>3.3861970106770382E-2</v>
      </c>
      <c r="R63" s="8">
        <f>SUM($W$10,$W$23)</f>
        <v>0.04</v>
      </c>
    </row>
    <row r="64" spans="1:26" s="3" customFormat="1" hidden="1" x14ac:dyDescent="0.2">
      <c r="B64" s="3" t="s">
        <v>721</v>
      </c>
      <c r="C64" s="14">
        <f>C40*X19</f>
        <v>0.06</v>
      </c>
      <c r="D64" s="14">
        <f>D40*X20</f>
        <v>0.06</v>
      </c>
      <c r="E64" s="14">
        <f t="shared" si="9"/>
        <v>6.6666666666666666E-2</v>
      </c>
      <c r="F64" s="14"/>
      <c r="G64" s="14"/>
      <c r="H64" s="14"/>
      <c r="I64" s="63">
        <f t="shared" si="7"/>
        <v>-6.6666666666666666E-2</v>
      </c>
      <c r="J64" s="63">
        <f t="shared" ref="J64:J73" si="10">J40</f>
        <v>-6.6666666666666666E-2</v>
      </c>
      <c r="K64" s="14"/>
      <c r="L64" s="14"/>
      <c r="M64" s="14"/>
      <c r="N64" s="64">
        <f>SUM(-C64,-D64)</f>
        <v>-0.12</v>
      </c>
      <c r="O64" s="14">
        <f>-SUM(C64,D64,E64,I64,J64,N64)</f>
        <v>6.666666666666668E-2</v>
      </c>
      <c r="P64" s="24">
        <f>SUM(P62,R64)</f>
        <v>1.0147941666523224</v>
      </c>
      <c r="Q64" s="25">
        <f>SUM(S64,T64)</f>
        <v>3.4252527860977308E-2</v>
      </c>
      <c r="R64" s="24">
        <f>SUM(C64,D64,N64,Q64)</f>
        <v>3.4252527860977308E-2</v>
      </c>
      <c r="S64" s="24">
        <f>SUM((SUM(I53,-I54,-I56,-I58,-I60,-I62,-I64)*I65),(SUM(J53,-J54,-J56,-J58,-J60,-J62,-J64)*J65),(SUM(K53,-K54)*K65),(-O54*O55),(-O56*O57),(-O58*O59),(-O60*O61),(-O62*O63),(-O64*O65),(R54*R55),(R56*R57),(R58*R59),(R60*R61),(R62*R63))</f>
        <v>-8.7998138805689324E-2</v>
      </c>
      <c r="T64" s="51">
        <f>SUM((SUM(C53,-C54,-C56,-C58,-C60,-C62,-C64)*C65),(SUM(D53,-D54,-D56,-D58,-D60,-D62,-D64)*D65),(SUM(E53,-E54,-E56,-E58,-E60,-E62,-E64)*E65),(SUM(G53,-G54)*G65),(-N54*N55),(-N56*N57),(-N58*N59),(-N60*N61),(-N62*N63),(-N64*N65))</f>
        <v>0.12225066666666663</v>
      </c>
      <c r="U64" s="217"/>
    </row>
    <row r="65" spans="2:26" s="3" customFormat="1" hidden="1" x14ac:dyDescent="0.2">
      <c r="B65" s="3" t="s">
        <v>194</v>
      </c>
      <c r="C65" s="21">
        <f>C41</f>
        <v>3.6670000000000001E-2</v>
      </c>
      <c r="D65" s="21">
        <f>D41</f>
        <v>3.6670000000000001E-2</v>
      </c>
      <c r="E65" s="21">
        <f t="shared" si="9"/>
        <v>3.6670000000000001E-2</v>
      </c>
      <c r="F65" s="21">
        <f>F41</f>
        <v>0</v>
      </c>
      <c r="G65" s="21">
        <f>SUM(W8,W23)</f>
        <v>3.1E-2</v>
      </c>
      <c r="H65" s="21">
        <f>H41</f>
        <v>0</v>
      </c>
      <c r="I65" s="21">
        <f>I41</f>
        <v>3.4669999999999999E-2</v>
      </c>
      <c r="J65" s="21">
        <f t="shared" si="10"/>
        <v>3.4669999999999999E-2</v>
      </c>
      <c r="K65" s="21">
        <f>SUM(W9,W23)</f>
        <v>3.4499999999999996E-2</v>
      </c>
      <c r="L65" s="21">
        <f>L41</f>
        <v>0</v>
      </c>
      <c r="M65" s="21">
        <f>M41</f>
        <v>0</v>
      </c>
      <c r="N65" s="8">
        <f>SUM(W7,W23)</f>
        <v>4.3999999999999997E-2</v>
      </c>
      <c r="O65" s="8">
        <f>SUM(W10,W23)</f>
        <v>0.04</v>
      </c>
      <c r="P65" s="21">
        <f>Q64/P64</f>
        <v>3.3753177724673039E-2</v>
      </c>
      <c r="R65" s="8">
        <f>SUM($W$10,$W$23)</f>
        <v>0.04</v>
      </c>
    </row>
    <row r="66" spans="2:26" s="3" customFormat="1" hidden="1" x14ac:dyDescent="0.2">
      <c r="B66" s="3" t="s">
        <v>723</v>
      </c>
      <c r="C66" s="14">
        <f>C42*X19</f>
        <v>0.06</v>
      </c>
      <c r="D66" s="14">
        <f>D42*X20</f>
        <v>0.06</v>
      </c>
      <c r="E66" s="14">
        <f t="shared" si="9"/>
        <v>6.6666666666666666E-2</v>
      </c>
      <c r="F66" s="14"/>
      <c r="G66" s="14"/>
      <c r="H66" s="14"/>
      <c r="I66" s="63">
        <f t="shared" si="7"/>
        <v>-6.6666666666666666E-2</v>
      </c>
      <c r="J66" s="63">
        <f t="shared" si="10"/>
        <v>-6.6666666666666666E-2</v>
      </c>
      <c r="K66" s="14"/>
      <c r="L66" s="14"/>
      <c r="M66" s="14"/>
      <c r="N66" s="64">
        <f>SUM(-C66,-D66)</f>
        <v>-0.12</v>
      </c>
      <c r="O66" s="14">
        <f>-SUM(C66,D66,E66,I66,J66,N66)</f>
        <v>6.666666666666668E-2</v>
      </c>
      <c r="P66" s="24">
        <f>SUM(P64,R66)</f>
        <v>1.0506012400721831</v>
      </c>
      <c r="Q66" s="25">
        <f>SUM(S66,T66)</f>
        <v>3.5807073419860835E-2</v>
      </c>
      <c r="R66" s="24">
        <f>SUM(C66,D66,N66,Q66)</f>
        <v>3.5807073419860835E-2</v>
      </c>
      <c r="S66" s="24">
        <f>SUM((SUM(I53,-I54,-I56,-I58,-I60,-I62,-I64,-I66)*I67),(SUM(J53,-J54,-J56,-J58,-J60,-J62,-J64,-J66)*J67),(SUM(K53,-K54)*K67),(-O54*O55),(-O56*O57),(-O58*O59),(-O60*O61),(-O62*O63),(-O64*O65),(-O66*O67),(R54*R55),(R56*R57),(R58*R59),(R60*R61),(R62*R63),(R64*R65))</f>
        <v>-8.4312926580139114E-2</v>
      </c>
      <c r="T66" s="51">
        <f>SUM((SUM(C53,-C54,-C56,-C58,-C60,-C62,-C64,-C66)*C67),(SUM(D53,-D54,-D56,-D58,-D60,-D62,-D64,-D66)*D67),(SUM(E53,-E54,-E56,-E58,-E60,-E62,-E64,-E66)*E67),(SUM(G53,-G54)*G67),(-N54*N55),(-N56*N57),(-N58*N59),(-N60*N61),(-N62*N63),(-N64*N65),(-N66*N67))</f>
        <v>0.12011999999999995</v>
      </c>
      <c r="U66" s="216"/>
    </row>
    <row r="67" spans="2:26" s="3" customFormat="1" hidden="1" x14ac:dyDescent="0.2">
      <c r="B67" s="3" t="s">
        <v>724</v>
      </c>
      <c r="C67" s="21">
        <f>C43</f>
        <v>3.6333333333333329E-2</v>
      </c>
      <c r="D67" s="21">
        <f>D43</f>
        <v>3.6333333333333329E-2</v>
      </c>
      <c r="E67" s="21">
        <f t="shared" si="9"/>
        <v>3.6333333333333329E-2</v>
      </c>
      <c r="F67" s="21">
        <f>F43</f>
        <v>0</v>
      </c>
      <c r="G67" s="21">
        <f>SUM(W8,W23)</f>
        <v>3.1E-2</v>
      </c>
      <c r="H67" s="21">
        <f>H43</f>
        <v>0</v>
      </c>
      <c r="I67" s="21">
        <f>I43</f>
        <v>3.4333333333333327E-2</v>
      </c>
      <c r="J67" s="21">
        <f t="shared" si="10"/>
        <v>3.4333333333333327E-2</v>
      </c>
      <c r="K67" s="21">
        <f>SUM(W9,W23)</f>
        <v>3.4499999999999996E-2</v>
      </c>
      <c r="L67" s="21">
        <f>L43</f>
        <v>0</v>
      </c>
      <c r="M67" s="21">
        <f>M43</f>
        <v>0</v>
      </c>
      <c r="N67" s="8">
        <f>SUM(W7,W23)</f>
        <v>4.3999999999999997E-2</v>
      </c>
      <c r="O67" s="8">
        <f>SUM(W10,W23)</f>
        <v>0.04</v>
      </c>
      <c r="P67" s="21">
        <f>Q66/P66</f>
        <v>3.4082458742767767E-2</v>
      </c>
      <c r="R67" s="8">
        <f>SUM($W$10,$W$23)</f>
        <v>0.04</v>
      </c>
    </row>
    <row r="68" spans="2:26" s="3" customFormat="1" hidden="1" x14ac:dyDescent="0.2">
      <c r="B68" s="3" t="s">
        <v>57</v>
      </c>
      <c r="C68" s="14">
        <f>C44*X19</f>
        <v>0.06</v>
      </c>
      <c r="D68" s="14">
        <f>D44*X20</f>
        <v>0.06</v>
      </c>
      <c r="E68" s="14">
        <f t="shared" si="9"/>
        <v>6.6666666666666666E-2</v>
      </c>
      <c r="F68" s="14"/>
      <c r="G68" s="14"/>
      <c r="H68" s="14"/>
      <c r="I68" s="63">
        <f t="shared" si="7"/>
        <v>-6.6666666666666666E-2</v>
      </c>
      <c r="J68" s="63">
        <f t="shared" si="10"/>
        <v>-6.6666666666666666E-2</v>
      </c>
      <c r="K68" s="14"/>
      <c r="L68" s="14"/>
      <c r="M68" s="14"/>
      <c r="N68" s="64">
        <f>SUM(-C68,-D68)</f>
        <v>-0.12</v>
      </c>
      <c r="O68" s="14">
        <f>-SUM(C68,D68,E68,I68,J68,N68)</f>
        <v>6.666666666666668E-2</v>
      </c>
      <c r="P68" s="24">
        <f>SUM(P66,R68)</f>
        <v>1.0877268186510607</v>
      </c>
      <c r="Q68" s="25">
        <f>SUM(S68,T68)</f>
        <v>3.7125578578877494E-2</v>
      </c>
      <c r="R68" s="24">
        <f>SUM(C68,D68,N68,Q68)</f>
        <v>3.7125578578877494E-2</v>
      </c>
      <c r="S68" s="24">
        <f>SUM((SUM(I53,-I54,-I56,-I58,-I60,-I62,-I64,-I66,-I68)*I69),(SUM(J53,-J54,-J56,-J58,-J60,-J62,-J64,-J66,-J68)*J69),(SUM(K53,-K54)*K69),(-O54*O55),(-O56*O57),(-O58*O59),(-O60*O61),(-O62*O63),(-O64*O65),(-O66*O67),(-O68*O69),(R54*R55),(R56*R57),(R58*R59),(R60*R61),(R62*R63),(R64*R65),(R66*R67))</f>
        <v>-8.0098421421122459E-2</v>
      </c>
      <c r="T68" s="51">
        <f>SUM((SUM(C53,-C54,-C56,-C58,-C60,-C62,-C64,-C66,-C68)*C69),(SUM(D53,-D54,-D56,-D58,-D60,-D62,-D64,-D66,-D68)*D69),(SUM(E53,-E54,-E56,-E58,-E60,-E62,-E64,-E66,-E68)*E69),(SUM(G53,-G54)*G69),(-N54*N55),(-N56*N57),(-N58*N59),(-N60*N61),(-N62*N63),(-N64*N65),(-N66*N67),(-N68*N69))</f>
        <v>0.11722399999999995</v>
      </c>
      <c r="U68" s="217"/>
    </row>
    <row r="69" spans="2:26" s="3" customFormat="1" hidden="1" x14ac:dyDescent="0.2">
      <c r="B69" s="3" t="s">
        <v>51</v>
      </c>
      <c r="C69" s="21">
        <f>C45</f>
        <v>3.5400000000000001E-2</v>
      </c>
      <c r="D69" s="21">
        <f>D45</f>
        <v>3.5400000000000001E-2</v>
      </c>
      <c r="E69" s="21">
        <f t="shared" si="9"/>
        <v>3.5400000000000001E-2</v>
      </c>
      <c r="F69" s="21">
        <f>F45</f>
        <v>0</v>
      </c>
      <c r="G69" s="21">
        <f>SUM(W8,W23)</f>
        <v>3.1E-2</v>
      </c>
      <c r="H69" s="21">
        <f>H45</f>
        <v>0</v>
      </c>
      <c r="I69" s="21">
        <f>I45</f>
        <v>3.3399999999999999E-2</v>
      </c>
      <c r="J69" s="21">
        <f t="shared" si="10"/>
        <v>3.3399999999999999E-2</v>
      </c>
      <c r="K69" s="21">
        <f>SUM(W9,W23)</f>
        <v>3.4499999999999996E-2</v>
      </c>
      <c r="L69" s="21">
        <f>L45</f>
        <v>0</v>
      </c>
      <c r="M69" s="21">
        <f>M45</f>
        <v>0</v>
      </c>
      <c r="N69" s="8">
        <f>SUM(W7,W23)</f>
        <v>4.3999999999999997E-2</v>
      </c>
      <c r="O69" s="8">
        <f>SUM(W10,W23)</f>
        <v>0.04</v>
      </c>
      <c r="P69" s="21">
        <f>Q68/P68</f>
        <v>3.4131344324964431E-2</v>
      </c>
      <c r="R69" s="8">
        <f>SUM($W$10,$W$23)</f>
        <v>0.04</v>
      </c>
    </row>
    <row r="70" spans="2:26" s="3" customFormat="1" hidden="1" x14ac:dyDescent="0.2">
      <c r="B70" s="3" t="s">
        <v>195</v>
      </c>
      <c r="C70" s="14">
        <f>C46*X19</f>
        <v>0.06</v>
      </c>
      <c r="D70" s="14">
        <f>D46*X20</f>
        <v>0.06</v>
      </c>
      <c r="E70" s="14">
        <f t="shared" si="9"/>
        <v>6.6666666666666666E-2</v>
      </c>
      <c r="F70" s="14"/>
      <c r="G70" s="14"/>
      <c r="H70" s="14"/>
      <c r="I70" s="63">
        <f t="shared" si="7"/>
        <v>-6.6666666666666666E-2</v>
      </c>
      <c r="J70" s="63">
        <f t="shared" si="10"/>
        <v>-6.6666666666666666E-2</v>
      </c>
      <c r="K70" s="14"/>
      <c r="L70" s="14"/>
      <c r="M70" s="14"/>
      <c r="N70" s="64">
        <f>SUM(-C70,-D70)</f>
        <v>-0.12</v>
      </c>
      <c r="O70" s="14">
        <f>-SUM(C70,D70,E70,I70,J70,N70)</f>
        <v>6.666666666666668E-2</v>
      </c>
      <c r="P70" s="24">
        <f>SUM(P68,R70)</f>
        <v>1.1258189441826172</v>
      </c>
      <c r="Q70" s="25">
        <f>SUM(S70,T70)</f>
        <v>3.8092125531556401E-2</v>
      </c>
      <c r="R70" s="24">
        <f>SUM(C70,D70,N70,Q70)</f>
        <v>3.8092125531556401E-2</v>
      </c>
      <c r="S70" s="24">
        <f>SUM((SUM(I53,-I54,-I56,-I58,-I60,-I62,-I64,-I66,-I68,-I70)*I71),(SUM(J53,-J54,-J56,-J58,-J60,-J62,-J64,-J66,-J68,-J70)*J71),(SUM(K53,-K54)*K71),(-O54*O55),(-O56*O57),(-O58*O59),(-O60*O61),(-O62*O63),(-O64*O65),(-O66*O67),(-O68*O69),(-O70*O71),(R54*R55),(R56*R57),(R58*R59),(R60*R61),(R62*R63),(R64*R65),(R66*R67),(R68*R69))</f>
        <v>-7.5283874468443535E-2</v>
      </c>
      <c r="T70" s="51">
        <f>SUM((SUM(C53,-C54,-C56,-C58,-C60,-C62,-C64,-C66,-C68,-C70)*C71),(SUM(D53,-D54,-D56,-D58,-D60,-D62,-D64,-D66,-D68,-D70)*D71),(SUM(E53,-E54,-E56,-E58,-E60,-E62,-E64,-E66,-E68,-E70)*E71),(SUM(G53,-G54)*G71),(-N54*N55),(-N56*N57),(-N58*N59),(-N60*N61),(-N62*N63),(-N64*N65),(-N66*N67),(-N68*N69),(-N70*N71))</f>
        <v>0.11337599999999994</v>
      </c>
      <c r="U70" s="217"/>
    </row>
    <row r="71" spans="2:26" s="3" customFormat="1" hidden="1" x14ac:dyDescent="0.2">
      <c r="B71" s="3" t="s">
        <v>196</v>
      </c>
      <c r="C71" s="21">
        <f>C47</f>
        <v>3.3471428571428569E-2</v>
      </c>
      <c r="D71" s="21">
        <f>D47</f>
        <v>3.3471428571428569E-2</v>
      </c>
      <c r="E71" s="21">
        <f t="shared" si="9"/>
        <v>3.3471428571428569E-2</v>
      </c>
      <c r="F71" s="21">
        <f>F47</f>
        <v>0</v>
      </c>
      <c r="G71" s="21">
        <f>SUM(W8,W23)</f>
        <v>3.1E-2</v>
      </c>
      <c r="H71" s="21">
        <f>H47</f>
        <v>0</v>
      </c>
      <c r="I71" s="21">
        <f>I47</f>
        <v>3.1471428571428567E-2</v>
      </c>
      <c r="J71" s="21">
        <f t="shared" si="10"/>
        <v>3.1471428571428567E-2</v>
      </c>
      <c r="K71" s="21">
        <f>SUM(W9,W23)</f>
        <v>3.4499999999999996E-2</v>
      </c>
      <c r="L71" s="21">
        <f>L47</f>
        <v>0</v>
      </c>
      <c r="M71" s="21">
        <f>M47</f>
        <v>0</v>
      </c>
      <c r="N71" s="8">
        <f>SUM(W7,W23)</f>
        <v>4.3999999999999997E-2</v>
      </c>
      <c r="O71" s="8">
        <f>SUM(W10,W23)</f>
        <v>0.04</v>
      </c>
      <c r="P71" s="21">
        <f>Q70/P70</f>
        <v>3.3835036911030646E-2</v>
      </c>
      <c r="R71" s="8">
        <f>SUM($W$10,$W$23)</f>
        <v>0.04</v>
      </c>
    </row>
    <row r="72" spans="2:26" s="3" customFormat="1" hidden="1" x14ac:dyDescent="0.2">
      <c r="B72" s="3" t="s">
        <v>725</v>
      </c>
      <c r="C72" s="14">
        <f>C48*X19</f>
        <v>0.06</v>
      </c>
      <c r="D72" s="14">
        <f>D48*X20</f>
        <v>0.06</v>
      </c>
      <c r="E72" s="14">
        <f t="shared" si="9"/>
        <v>6.6666666666666666E-2</v>
      </c>
      <c r="I72" s="63">
        <f t="shared" si="7"/>
        <v>-6.6666666666666666E-2</v>
      </c>
      <c r="J72" s="63">
        <f t="shared" si="10"/>
        <v>-6.6666666666666666E-2</v>
      </c>
      <c r="N72" s="64">
        <f>SUM(-C72,-D72)</f>
        <v>-0.12</v>
      </c>
      <c r="O72" s="14">
        <f>-SUM(C72,D72,E72,I72,J72,N72)</f>
        <v>6.666666666666668E-2</v>
      </c>
      <c r="P72" s="24">
        <f>SUM(P70,R72)</f>
        <v>1.1648758975925788</v>
      </c>
      <c r="Q72" s="25">
        <f>SUM(S72,T72)</f>
        <v>3.9056953409961515E-2</v>
      </c>
      <c r="R72" s="24">
        <f>SUM(C72,D72,N72,Q72)</f>
        <v>3.9056953409961515E-2</v>
      </c>
      <c r="S72" s="24">
        <f>SUM((SUM(I53,-I54,-I56,-I58,-I60,-I62,-I64,-I66,-I68,-I70,-I72)*I73),(SUM(J53,-J54,-J56,-J58,-J60,-J62,-J64,-J66,-J68,-J70,-J72)*J73),(SUM(K53,-K54)*K73),(-O54*O55),(-O56*O57),(-O58*O59),(-O60*O61),(-O62*O63),(-O64*O65),(-O66*O67),(-O68*O69),(-O70*O71),(-O72*O73),(R54*R55),(R56*R57),(R58*R59),(R60*R61),(R62*R63),(R64*R65),(R66*R67),(R68*R69),(R70*R71))</f>
        <v>-7.0583046590038431E-2</v>
      </c>
      <c r="T72" s="51">
        <f>SUM((SUM(C53,-C54,-C56,-C58,-C60,-C62,-C64,-C66,-C68,-C70,-C72)*C73),(SUM(D53,-D54,-D56,-D58,-D60,-D62,-D64,-D66,-D68,-D70,-D72)*D73),(SUM(E53,-E54,-E56,-E58,-E60,-E62,-E64,-E66,-E68,-E70,-E72)*E73),(SUM(G53,-G54)*G73),(-N54*N55),(-N56*N57),(-N58*N59),(-N60*N61),(-N62*N63),(-N64*N65),(-N66*N67),(-N68*N69),(-N70*N71),(-N72*N73))</f>
        <v>0.10963999999999995</v>
      </c>
      <c r="U72" s="216"/>
    </row>
    <row r="73" spans="2:26" s="3" customFormat="1" hidden="1" x14ac:dyDescent="0.2">
      <c r="B73" s="3" t="s">
        <v>726</v>
      </c>
      <c r="C73" s="21">
        <f>C49</f>
        <v>3.1E-2</v>
      </c>
      <c r="D73" s="21">
        <f>D49</f>
        <v>3.1E-2</v>
      </c>
      <c r="E73" s="21">
        <f t="shared" si="9"/>
        <v>3.1E-2</v>
      </c>
      <c r="F73" s="21">
        <f>F49</f>
        <v>0</v>
      </c>
      <c r="G73" s="21">
        <f>SUM(W8,W23)</f>
        <v>3.1E-2</v>
      </c>
      <c r="H73" s="21">
        <f>H49</f>
        <v>0</v>
      </c>
      <c r="I73" s="21">
        <f>I49</f>
        <v>2.9000000000000001E-2</v>
      </c>
      <c r="J73" s="21">
        <f t="shared" si="10"/>
        <v>2.9000000000000001E-2</v>
      </c>
      <c r="K73" s="21">
        <f>SUM(W9,W23)</f>
        <v>3.4499999999999996E-2</v>
      </c>
      <c r="L73" s="21">
        <f>L49</f>
        <v>0</v>
      </c>
      <c r="M73" s="21">
        <f>M49</f>
        <v>0</v>
      </c>
      <c r="N73" s="8">
        <f>SUM(W7,W23)</f>
        <v>4.3999999999999997E-2</v>
      </c>
      <c r="O73" s="8">
        <f>SUM(W10,W23)</f>
        <v>0.04</v>
      </c>
      <c r="P73" s="21">
        <f>Q72/P72</f>
        <v>3.3528853580608531E-2</v>
      </c>
      <c r="R73" s="8">
        <f>SUM($W$10,$W$23)</f>
        <v>0.04</v>
      </c>
    </row>
    <row r="74" spans="2:26" hidden="1" x14ac:dyDescent="0.2">
      <c r="C74" s="4"/>
      <c r="D74" s="4"/>
      <c r="E74" s="10"/>
      <c r="F74" s="20"/>
      <c r="G74" s="20"/>
      <c r="H74" s="20"/>
      <c r="I74" s="10"/>
      <c r="J74" s="10"/>
      <c r="K74" s="4"/>
      <c r="L74" s="20"/>
      <c r="M74" s="20"/>
      <c r="N74" s="8"/>
      <c r="O74" s="8"/>
      <c r="P74" s="7"/>
      <c r="Z74" s="3"/>
    </row>
  </sheetData>
  <sheetProtection password="ABC0" sheet="1" objects="1" scenarios="1" selectLockedCells="1"/>
  <customSheetViews>
    <customSheetView guid="{B41B624D-DA5C-4FA3-85F1-D5B8087B6A65}">
      <pageMargins left="0.7" right="0.7" top="0.75" bottom="0.75" header="0.3" footer="0.3"/>
    </customSheetView>
  </customSheetViews>
  <mergeCells count="1">
    <mergeCell ref="A1:B1"/>
  </mergeCells>
  <conditionalFormatting sqref="F6:G6">
    <cfRule type="cellIs" dxfId="566" priority="695" operator="greaterThan">
      <formula>0</formula>
    </cfRule>
    <cfRule type="cellIs" dxfId="565" priority="696" operator="greaterThan">
      <formula>0</formula>
    </cfRule>
    <cfRule type="cellIs" dxfId="564" priority="697" operator="greaterThan">
      <formula>0</formula>
    </cfRule>
    <cfRule type="cellIs" dxfId="563" priority="699" operator="greaterThan">
      <formula>0</formula>
    </cfRule>
    <cfRule type="cellIs" dxfId="562" priority="703" operator="greaterThan">
      <formula>0</formula>
    </cfRule>
  </conditionalFormatting>
  <conditionalFormatting sqref="F8:G8">
    <cfRule type="cellIs" dxfId="561" priority="694" operator="greaterThan">
      <formula>0</formula>
    </cfRule>
    <cfRule type="cellIs" dxfId="560" priority="700" operator="greaterThan">
      <formula>0</formula>
    </cfRule>
    <cfRule type="cellIs" dxfId="559" priority="702" operator="greaterThan">
      <formula>" € - "</formula>
    </cfRule>
  </conditionalFormatting>
  <conditionalFormatting sqref="F10:G10 F12:G12">
    <cfRule type="cellIs" dxfId="558" priority="693" operator="greaterThan">
      <formula>0</formula>
    </cfRule>
    <cfRule type="cellIs" dxfId="557" priority="701" operator="greaterThan">
      <formula>0</formula>
    </cfRule>
  </conditionalFormatting>
  <conditionalFormatting sqref="F12:G12 C10 C12 C14 C16 C18 C20 C22 C24 C6:D6 I32:J32 J30 I48:J48 I34:J34 I36:J36 I38:J38 I40:J40 I42:J42 I44:J44 I46:J46 L29 C8:D8">
    <cfRule type="cellIs" dxfId="556" priority="691" operator="greaterThan">
      <formula>0</formula>
    </cfRule>
  </conditionalFormatting>
  <conditionalFormatting sqref="D10">
    <cfRule type="cellIs" dxfId="555" priority="688" operator="greaterThan">
      <formula>0</formula>
    </cfRule>
    <cfRule type="cellIs" dxfId="554" priority="689" operator="greaterThan">
      <formula>0</formula>
    </cfRule>
  </conditionalFormatting>
  <conditionalFormatting sqref="D12">
    <cfRule type="cellIs" dxfId="553" priority="687" operator="greaterThan">
      <formula>0</formula>
    </cfRule>
  </conditionalFormatting>
  <conditionalFormatting sqref="G6 G8">
    <cfRule type="cellIs" dxfId="552" priority="630" operator="greaterThan">
      <formula>0</formula>
    </cfRule>
    <cfRule type="cellIs" dxfId="551" priority="635" operator="greaterThan">
      <formula>" € - "</formula>
    </cfRule>
  </conditionalFormatting>
  <conditionalFormatting sqref="G10">
    <cfRule type="cellIs" dxfId="550" priority="631" operator="greaterThan">
      <formula>0</formula>
    </cfRule>
    <cfRule type="cellIs" dxfId="549" priority="633" operator="greaterThan">
      <formula>" €0 - "</formula>
    </cfRule>
  </conditionalFormatting>
  <conditionalFormatting sqref="I30">
    <cfRule type="cellIs" dxfId="548" priority="626" operator="greaterThan">
      <formula>0</formula>
    </cfRule>
    <cfRule type="cellIs" dxfId="547" priority="627" operator="greaterThan">
      <formula>0</formula>
    </cfRule>
  </conditionalFormatting>
  <conditionalFormatting sqref="G6">
    <cfRule type="cellIs" dxfId="546" priority="570" operator="greaterThan">
      <formula>0</formula>
    </cfRule>
  </conditionalFormatting>
  <conditionalFormatting sqref="G8">
    <cfRule type="cellIs" dxfId="545" priority="565" operator="greaterThan">
      <formula>0</formula>
    </cfRule>
    <cfRule type="cellIs" dxfId="544" priority="566" operator="greaterThan">
      <formula>0</formula>
    </cfRule>
    <cfRule type="cellIs" dxfId="543" priority="567" operator="greaterThan">
      <formula>0</formula>
    </cfRule>
    <cfRule type="cellIs" dxfId="542" priority="568" operator="greaterThan">
      <formula>0</formula>
    </cfRule>
    <cfRule type="cellIs" dxfId="541" priority="569" operator="greaterThan">
      <formula>0</formula>
    </cfRule>
  </conditionalFormatting>
  <conditionalFormatting sqref="G8">
    <cfRule type="cellIs" dxfId="540" priority="564" operator="greaterThan">
      <formula>0</formula>
    </cfRule>
  </conditionalFormatting>
  <conditionalFormatting sqref="E6">
    <cfRule type="cellIs" dxfId="539" priority="561" operator="greaterThan">
      <formula>0</formula>
    </cfRule>
    <cfRule type="cellIs" dxfId="538" priority="562" operator="greaterThan">
      <formula>0</formula>
    </cfRule>
    <cfRule type="cellIs" dxfId="537" priority="563" operator="greaterThan">
      <formula>" € - "</formula>
    </cfRule>
  </conditionalFormatting>
  <conditionalFormatting sqref="E6">
    <cfRule type="cellIs" dxfId="536" priority="559" operator="greaterThan">
      <formula>0</formula>
    </cfRule>
    <cfRule type="cellIs" dxfId="535" priority="560" operator="greaterThan">
      <formula>" € - "</formula>
    </cfRule>
  </conditionalFormatting>
  <conditionalFormatting sqref="E6">
    <cfRule type="cellIs" dxfId="534" priority="554" operator="greaterThan">
      <formula>0</formula>
    </cfRule>
    <cfRule type="cellIs" dxfId="533" priority="555" operator="greaterThan">
      <formula>0</formula>
    </cfRule>
    <cfRule type="cellIs" dxfId="532" priority="556" operator="greaterThan">
      <formula>0</formula>
    </cfRule>
    <cfRule type="cellIs" dxfId="531" priority="557" operator="greaterThan">
      <formula>0</formula>
    </cfRule>
    <cfRule type="cellIs" dxfId="530" priority="558" operator="greaterThan">
      <formula>0</formula>
    </cfRule>
  </conditionalFormatting>
  <conditionalFormatting sqref="E6">
    <cfRule type="cellIs" dxfId="529" priority="553" operator="greaterThan">
      <formula>0</formula>
    </cfRule>
  </conditionalFormatting>
  <conditionalFormatting sqref="E8">
    <cfRule type="cellIs" dxfId="528" priority="550" operator="greaterThan">
      <formula>0</formula>
    </cfRule>
    <cfRule type="cellIs" dxfId="527" priority="551" operator="greaterThan">
      <formula>0</formula>
    </cfRule>
    <cfRule type="cellIs" dxfId="526" priority="552" operator="greaterThan">
      <formula>" € - "</formula>
    </cfRule>
  </conditionalFormatting>
  <conditionalFormatting sqref="E8">
    <cfRule type="cellIs" dxfId="525" priority="548" operator="greaterThan">
      <formula>0</formula>
    </cfRule>
    <cfRule type="cellIs" dxfId="524" priority="549" operator="greaterThan">
      <formula>" € - "</formula>
    </cfRule>
  </conditionalFormatting>
  <conditionalFormatting sqref="E8">
    <cfRule type="cellIs" dxfId="523" priority="543" operator="greaterThan">
      <formula>0</formula>
    </cfRule>
    <cfRule type="cellIs" dxfId="522" priority="544" operator="greaterThan">
      <formula>0</formula>
    </cfRule>
    <cfRule type="cellIs" dxfId="521" priority="545" operator="greaterThan">
      <formula>0</formula>
    </cfRule>
    <cfRule type="cellIs" dxfId="520" priority="546" operator="greaterThan">
      <formula>0</formula>
    </cfRule>
    <cfRule type="cellIs" dxfId="519" priority="547" operator="greaterThan">
      <formula>0</formula>
    </cfRule>
  </conditionalFormatting>
  <conditionalFormatting sqref="E8">
    <cfRule type="cellIs" dxfId="518" priority="542" operator="greaterThan">
      <formula>0</formula>
    </cfRule>
  </conditionalFormatting>
  <conditionalFormatting sqref="E10">
    <cfRule type="cellIs" dxfId="517" priority="539" operator="greaterThan">
      <formula>0</formula>
    </cfRule>
    <cfRule type="cellIs" dxfId="516" priority="540" operator="greaterThan">
      <formula>0</formula>
    </cfRule>
    <cfRule type="cellIs" dxfId="515" priority="541" operator="greaterThan">
      <formula>" € - "</formula>
    </cfRule>
  </conditionalFormatting>
  <conditionalFormatting sqref="E10">
    <cfRule type="cellIs" dxfId="514" priority="537" operator="greaterThan">
      <formula>0</formula>
    </cfRule>
    <cfRule type="cellIs" dxfId="513" priority="538" operator="greaterThan">
      <formula>" € - "</formula>
    </cfRule>
  </conditionalFormatting>
  <conditionalFormatting sqref="E10">
    <cfRule type="cellIs" dxfId="512" priority="532" operator="greaterThan">
      <formula>0</formula>
    </cfRule>
    <cfRule type="cellIs" dxfId="511" priority="533" operator="greaterThan">
      <formula>0</formula>
    </cfRule>
    <cfRule type="cellIs" dxfId="510" priority="534" operator="greaterThan">
      <formula>0</formula>
    </cfRule>
    <cfRule type="cellIs" dxfId="509" priority="535" operator="greaterThan">
      <formula>0</formula>
    </cfRule>
    <cfRule type="cellIs" dxfId="508" priority="536" operator="greaterThan">
      <formula>0</formula>
    </cfRule>
  </conditionalFormatting>
  <conditionalFormatting sqref="E10">
    <cfRule type="cellIs" dxfId="507" priority="531" operator="greaterThan">
      <formula>0</formula>
    </cfRule>
  </conditionalFormatting>
  <conditionalFormatting sqref="E12">
    <cfRule type="cellIs" dxfId="506" priority="528" operator="greaterThan">
      <formula>0</formula>
    </cfRule>
    <cfRule type="cellIs" dxfId="505" priority="529" operator="greaterThan">
      <formula>0</formula>
    </cfRule>
    <cfRule type="cellIs" dxfId="504" priority="530" operator="greaterThan">
      <formula>" € - "</formula>
    </cfRule>
  </conditionalFormatting>
  <conditionalFormatting sqref="E12">
    <cfRule type="cellIs" dxfId="503" priority="526" operator="greaterThan">
      <formula>0</formula>
    </cfRule>
    <cfRule type="cellIs" dxfId="502" priority="527" operator="greaterThan">
      <formula>" € - "</formula>
    </cfRule>
  </conditionalFormatting>
  <conditionalFormatting sqref="E12">
    <cfRule type="cellIs" dxfId="501" priority="521" operator="greaterThan">
      <formula>0</formula>
    </cfRule>
    <cfRule type="cellIs" dxfId="500" priority="522" operator="greaterThan">
      <formula>0</formula>
    </cfRule>
    <cfRule type="cellIs" dxfId="499" priority="523" operator="greaterThan">
      <formula>0</formula>
    </cfRule>
    <cfRule type="cellIs" dxfId="498" priority="524" operator="greaterThan">
      <formula>0</formula>
    </cfRule>
    <cfRule type="cellIs" dxfId="497" priority="525" operator="greaterThan">
      <formula>0</formula>
    </cfRule>
  </conditionalFormatting>
  <conditionalFormatting sqref="E12">
    <cfRule type="cellIs" dxfId="496" priority="520" operator="greaterThan">
      <formula>0</formula>
    </cfRule>
  </conditionalFormatting>
  <conditionalFormatting sqref="E14">
    <cfRule type="cellIs" dxfId="495" priority="517" operator="greaterThan">
      <formula>0</formula>
    </cfRule>
    <cfRule type="cellIs" dxfId="494" priority="518" operator="greaterThan">
      <formula>0</formula>
    </cfRule>
    <cfRule type="cellIs" dxfId="493" priority="519" operator="greaterThan">
      <formula>" € - "</formula>
    </cfRule>
  </conditionalFormatting>
  <conditionalFormatting sqref="E14">
    <cfRule type="cellIs" dxfId="492" priority="515" operator="greaterThan">
      <formula>0</formula>
    </cfRule>
    <cfRule type="cellIs" dxfId="491" priority="516" operator="greaterThan">
      <formula>" € - "</formula>
    </cfRule>
  </conditionalFormatting>
  <conditionalFormatting sqref="E14">
    <cfRule type="cellIs" dxfId="490" priority="510" operator="greaterThan">
      <formula>0</formula>
    </cfRule>
    <cfRule type="cellIs" dxfId="489" priority="511" operator="greaterThan">
      <formula>0</formula>
    </cfRule>
    <cfRule type="cellIs" dxfId="488" priority="512" operator="greaterThan">
      <formula>0</formula>
    </cfRule>
    <cfRule type="cellIs" dxfId="487" priority="513" operator="greaterThan">
      <formula>0</formula>
    </cfRule>
    <cfRule type="cellIs" dxfId="486" priority="514" operator="greaterThan">
      <formula>0</formula>
    </cfRule>
  </conditionalFormatting>
  <conditionalFormatting sqref="E14">
    <cfRule type="cellIs" dxfId="485" priority="509" operator="greaterThan">
      <formula>0</formula>
    </cfRule>
  </conditionalFormatting>
  <conditionalFormatting sqref="E16">
    <cfRule type="cellIs" dxfId="484" priority="506" operator="greaterThan">
      <formula>0</formula>
    </cfRule>
    <cfRule type="cellIs" dxfId="483" priority="507" operator="greaterThan">
      <formula>0</formula>
    </cfRule>
    <cfRule type="cellIs" dxfId="482" priority="508" operator="greaterThan">
      <formula>" € - "</formula>
    </cfRule>
  </conditionalFormatting>
  <conditionalFormatting sqref="E16">
    <cfRule type="cellIs" dxfId="481" priority="504" operator="greaterThan">
      <formula>0</formula>
    </cfRule>
    <cfRule type="cellIs" dxfId="480" priority="505" operator="greaterThan">
      <formula>" € - "</formula>
    </cfRule>
  </conditionalFormatting>
  <conditionalFormatting sqref="E16">
    <cfRule type="cellIs" dxfId="479" priority="499" operator="greaterThan">
      <formula>0</formula>
    </cfRule>
    <cfRule type="cellIs" dxfId="478" priority="500" operator="greaterThan">
      <formula>0</formula>
    </cfRule>
    <cfRule type="cellIs" dxfId="477" priority="501" operator="greaterThan">
      <formula>0</formula>
    </cfRule>
    <cfRule type="cellIs" dxfId="476" priority="502" operator="greaterThan">
      <formula>0</formula>
    </cfRule>
    <cfRule type="cellIs" dxfId="475" priority="503" operator="greaterThan">
      <formula>0</formula>
    </cfRule>
  </conditionalFormatting>
  <conditionalFormatting sqref="E16">
    <cfRule type="cellIs" dxfId="474" priority="498" operator="greaterThan">
      <formula>0</formula>
    </cfRule>
  </conditionalFormatting>
  <conditionalFormatting sqref="E18">
    <cfRule type="cellIs" dxfId="473" priority="495" operator="greaterThan">
      <formula>0</formula>
    </cfRule>
    <cfRule type="cellIs" dxfId="472" priority="496" operator="greaterThan">
      <formula>0</formula>
    </cfRule>
    <cfRule type="cellIs" dxfId="471" priority="497" operator="greaterThan">
      <formula>" € - "</formula>
    </cfRule>
  </conditionalFormatting>
  <conditionalFormatting sqref="E18">
    <cfRule type="cellIs" dxfId="470" priority="493" operator="greaterThan">
      <formula>0</formula>
    </cfRule>
    <cfRule type="cellIs" dxfId="469" priority="494" operator="greaterThan">
      <formula>" € - "</formula>
    </cfRule>
  </conditionalFormatting>
  <conditionalFormatting sqref="E18">
    <cfRule type="cellIs" dxfId="468" priority="488" operator="greaterThan">
      <formula>0</formula>
    </cfRule>
    <cfRule type="cellIs" dxfId="467" priority="489" operator="greaterThan">
      <formula>0</formula>
    </cfRule>
    <cfRule type="cellIs" dxfId="466" priority="490" operator="greaterThan">
      <formula>0</formula>
    </cfRule>
    <cfRule type="cellIs" dxfId="465" priority="491" operator="greaterThan">
      <formula>0</formula>
    </cfRule>
    <cfRule type="cellIs" dxfId="464" priority="492" operator="greaterThan">
      <formula>0</formula>
    </cfRule>
  </conditionalFormatting>
  <conditionalFormatting sqref="E18">
    <cfRule type="cellIs" dxfId="463" priority="487" operator="greaterThan">
      <formula>0</formula>
    </cfRule>
  </conditionalFormatting>
  <conditionalFormatting sqref="E20">
    <cfRule type="cellIs" dxfId="462" priority="484" operator="greaterThan">
      <formula>0</formula>
    </cfRule>
    <cfRule type="cellIs" dxfId="461" priority="485" operator="greaterThan">
      <formula>0</formula>
    </cfRule>
    <cfRule type="cellIs" dxfId="460" priority="486" operator="greaterThan">
      <formula>" € - "</formula>
    </cfRule>
  </conditionalFormatting>
  <conditionalFormatting sqref="E20">
    <cfRule type="cellIs" dxfId="459" priority="482" operator="greaterThan">
      <formula>0</formula>
    </cfRule>
    <cfRule type="cellIs" dxfId="458" priority="483" operator="greaterThan">
      <formula>" € - "</formula>
    </cfRule>
  </conditionalFormatting>
  <conditionalFormatting sqref="E20">
    <cfRule type="cellIs" dxfId="457" priority="477" operator="greaterThan">
      <formula>0</formula>
    </cfRule>
    <cfRule type="cellIs" dxfId="456" priority="478" operator="greaterThan">
      <formula>0</formula>
    </cfRule>
    <cfRule type="cellIs" dxfId="455" priority="479" operator="greaterThan">
      <formula>0</formula>
    </cfRule>
    <cfRule type="cellIs" dxfId="454" priority="480" operator="greaterThan">
      <formula>0</formula>
    </cfRule>
    <cfRule type="cellIs" dxfId="453" priority="481" operator="greaterThan">
      <formula>0</formula>
    </cfRule>
  </conditionalFormatting>
  <conditionalFormatting sqref="E20">
    <cfRule type="cellIs" dxfId="452" priority="476" operator="greaterThan">
      <formula>0</formula>
    </cfRule>
  </conditionalFormatting>
  <conditionalFormatting sqref="E22">
    <cfRule type="cellIs" dxfId="451" priority="473" operator="greaterThan">
      <formula>0</formula>
    </cfRule>
    <cfRule type="cellIs" dxfId="450" priority="474" operator="greaterThan">
      <formula>0</formula>
    </cfRule>
    <cfRule type="cellIs" dxfId="449" priority="475" operator="greaterThan">
      <formula>" € - "</formula>
    </cfRule>
  </conditionalFormatting>
  <conditionalFormatting sqref="E22">
    <cfRule type="cellIs" dxfId="448" priority="471" operator="greaterThan">
      <formula>0</formula>
    </cfRule>
    <cfRule type="cellIs" dxfId="447" priority="472" operator="greaterThan">
      <formula>" € - "</formula>
    </cfRule>
  </conditionalFormatting>
  <conditionalFormatting sqref="E22">
    <cfRule type="cellIs" dxfId="446" priority="466" operator="greaterThan">
      <formula>0</formula>
    </cfRule>
    <cfRule type="cellIs" dxfId="445" priority="467" operator="greaterThan">
      <formula>0</formula>
    </cfRule>
    <cfRule type="cellIs" dxfId="444" priority="468" operator="greaterThan">
      <formula>0</formula>
    </cfRule>
    <cfRule type="cellIs" dxfId="443" priority="469" operator="greaterThan">
      <formula>0</formula>
    </cfRule>
    <cfRule type="cellIs" dxfId="442" priority="470" operator="greaterThan">
      <formula>0</formula>
    </cfRule>
  </conditionalFormatting>
  <conditionalFormatting sqref="E22">
    <cfRule type="cellIs" dxfId="441" priority="465" operator="greaterThan">
      <formula>0</formula>
    </cfRule>
  </conditionalFormatting>
  <conditionalFormatting sqref="E24">
    <cfRule type="cellIs" dxfId="440" priority="462" operator="greaterThan">
      <formula>0</formula>
    </cfRule>
    <cfRule type="cellIs" dxfId="439" priority="463" operator="greaterThan">
      <formula>0</formula>
    </cfRule>
    <cfRule type="cellIs" dxfId="438" priority="464" operator="greaterThan">
      <formula>" € - "</formula>
    </cfRule>
  </conditionalFormatting>
  <conditionalFormatting sqref="E24">
    <cfRule type="cellIs" dxfId="437" priority="460" operator="greaterThan">
      <formula>0</formula>
    </cfRule>
    <cfRule type="cellIs" dxfId="436" priority="461" operator="greaterThan">
      <formula>" € - "</formula>
    </cfRule>
  </conditionalFormatting>
  <conditionalFormatting sqref="E24">
    <cfRule type="cellIs" dxfId="435" priority="455" operator="greaterThan">
      <formula>0</formula>
    </cfRule>
    <cfRule type="cellIs" dxfId="434" priority="456" operator="greaterThan">
      <formula>0</formula>
    </cfRule>
    <cfRule type="cellIs" dxfId="433" priority="457" operator="greaterThan">
      <formula>0</formula>
    </cfRule>
    <cfRule type="cellIs" dxfId="432" priority="458" operator="greaterThan">
      <formula>0</formula>
    </cfRule>
    <cfRule type="cellIs" dxfId="431" priority="459" operator="greaterThan">
      <formula>0</formula>
    </cfRule>
  </conditionalFormatting>
  <conditionalFormatting sqref="E24">
    <cfRule type="cellIs" dxfId="430" priority="454" operator="greaterThan">
      <formula>0</formula>
    </cfRule>
  </conditionalFormatting>
  <conditionalFormatting sqref="I30">
    <cfRule type="cellIs" dxfId="429" priority="453" operator="greaterThan">
      <formula>0</formula>
    </cfRule>
  </conditionalFormatting>
  <conditionalFormatting sqref="I32">
    <cfRule type="cellIs" dxfId="428" priority="451" operator="greaterThan">
      <formula>0</formula>
    </cfRule>
    <cfRule type="cellIs" dxfId="427" priority="452" operator="greaterThan">
      <formula>0</formula>
    </cfRule>
  </conditionalFormatting>
  <conditionalFormatting sqref="I32">
    <cfRule type="cellIs" dxfId="426" priority="450" operator="greaterThan">
      <formula>0</formula>
    </cfRule>
  </conditionalFormatting>
  <conditionalFormatting sqref="J32">
    <cfRule type="cellIs" dxfId="425" priority="448" operator="greaterThan">
      <formula>0</formula>
    </cfRule>
    <cfRule type="cellIs" dxfId="424" priority="449" operator="greaterThan">
      <formula>0</formula>
    </cfRule>
  </conditionalFormatting>
  <conditionalFormatting sqref="J32">
    <cfRule type="cellIs" dxfId="423" priority="447" operator="greaterThan">
      <formula>0</formula>
    </cfRule>
  </conditionalFormatting>
  <conditionalFormatting sqref="I34">
    <cfRule type="cellIs" dxfId="422" priority="445" operator="greaterThan">
      <formula>0</formula>
    </cfRule>
    <cfRule type="cellIs" dxfId="421" priority="446" operator="greaterThan">
      <formula>0</formula>
    </cfRule>
  </conditionalFormatting>
  <conditionalFormatting sqref="I34">
    <cfRule type="cellIs" dxfId="420" priority="444" operator="greaterThan">
      <formula>0</formula>
    </cfRule>
  </conditionalFormatting>
  <conditionalFormatting sqref="J34">
    <cfRule type="cellIs" dxfId="419" priority="442" operator="greaterThan">
      <formula>0</formula>
    </cfRule>
    <cfRule type="cellIs" dxfId="418" priority="443" operator="greaterThan">
      <formula>0</formula>
    </cfRule>
  </conditionalFormatting>
  <conditionalFormatting sqref="J34">
    <cfRule type="cellIs" dxfId="417" priority="441" operator="greaterThan">
      <formula>0</formula>
    </cfRule>
  </conditionalFormatting>
  <conditionalFormatting sqref="F6">
    <cfRule type="cellIs" dxfId="416" priority="440" operator="greaterThan">
      <formula>0</formula>
    </cfRule>
  </conditionalFormatting>
  <conditionalFormatting sqref="F8">
    <cfRule type="cellIs" dxfId="415" priority="435" operator="greaterThan">
      <formula>0</formula>
    </cfRule>
    <cfRule type="cellIs" dxfId="414" priority="436" operator="greaterThan">
      <formula>0</formula>
    </cfRule>
    <cfRule type="cellIs" dxfId="413" priority="437" operator="greaterThan">
      <formula>0</formula>
    </cfRule>
    <cfRule type="cellIs" dxfId="412" priority="438" operator="greaterThan">
      <formula>0</formula>
    </cfRule>
    <cfRule type="cellIs" dxfId="411" priority="439" operator="greaterThan">
      <formula>0</formula>
    </cfRule>
  </conditionalFormatting>
  <conditionalFormatting sqref="F8">
    <cfRule type="cellIs" dxfId="410" priority="434" operator="greaterThan">
      <formula>0</formula>
    </cfRule>
  </conditionalFormatting>
  <conditionalFormatting sqref="F10">
    <cfRule type="cellIs" dxfId="409" priority="431" operator="greaterThan">
      <formula>0</formula>
    </cfRule>
    <cfRule type="cellIs" dxfId="408" priority="432" operator="greaterThan">
      <formula>0</formula>
    </cfRule>
    <cfRule type="cellIs" dxfId="407" priority="433" operator="greaterThan">
      <formula>" € - "</formula>
    </cfRule>
  </conditionalFormatting>
  <conditionalFormatting sqref="F10">
    <cfRule type="cellIs" dxfId="406" priority="426" operator="greaterThan">
      <formula>0</formula>
    </cfRule>
    <cfRule type="cellIs" dxfId="405" priority="427" operator="greaterThan">
      <formula>0</formula>
    </cfRule>
    <cfRule type="cellIs" dxfId="404" priority="428" operator="greaterThan">
      <formula>0</formula>
    </cfRule>
    <cfRule type="cellIs" dxfId="403" priority="429" operator="greaterThan">
      <formula>0</formula>
    </cfRule>
    <cfRule type="cellIs" dxfId="402" priority="430" operator="greaterThan">
      <formula>0</formula>
    </cfRule>
  </conditionalFormatting>
  <conditionalFormatting sqref="F10">
    <cfRule type="cellIs" dxfId="401" priority="425" operator="greaterThan">
      <formula>0</formula>
    </cfRule>
  </conditionalFormatting>
  <conditionalFormatting sqref="F12">
    <cfRule type="cellIs" dxfId="400" priority="422" operator="greaterThan">
      <formula>0</formula>
    </cfRule>
    <cfRule type="cellIs" dxfId="399" priority="423" operator="greaterThan">
      <formula>0</formula>
    </cfRule>
    <cfRule type="cellIs" dxfId="398" priority="424" operator="greaterThan">
      <formula>" € - "</formula>
    </cfRule>
  </conditionalFormatting>
  <conditionalFormatting sqref="F12">
    <cfRule type="cellIs" dxfId="397" priority="417" operator="greaterThan">
      <formula>0</formula>
    </cfRule>
    <cfRule type="cellIs" dxfId="396" priority="418" operator="greaterThan">
      <formula>0</formula>
    </cfRule>
    <cfRule type="cellIs" dxfId="395" priority="419" operator="greaterThan">
      <formula>0</formula>
    </cfRule>
    <cfRule type="cellIs" dxfId="394" priority="420" operator="greaterThan">
      <formula>0</formula>
    </cfRule>
    <cfRule type="cellIs" dxfId="393" priority="421" operator="greaterThan">
      <formula>0</formula>
    </cfRule>
  </conditionalFormatting>
  <conditionalFormatting sqref="F12">
    <cfRule type="cellIs" dxfId="392" priority="416" operator="greaterThan">
      <formula>0</formula>
    </cfRule>
  </conditionalFormatting>
  <conditionalFormatting sqref="I36">
    <cfRule type="cellIs" dxfId="391" priority="414" operator="greaterThan">
      <formula>0</formula>
    </cfRule>
    <cfRule type="cellIs" dxfId="390" priority="415" operator="greaterThan">
      <formula>0</formula>
    </cfRule>
  </conditionalFormatting>
  <conditionalFormatting sqref="I36">
    <cfRule type="cellIs" dxfId="389" priority="413" operator="greaterThan">
      <formula>0</formula>
    </cfRule>
  </conditionalFormatting>
  <conditionalFormatting sqref="I38">
    <cfRule type="cellIs" dxfId="388" priority="411" operator="greaterThan">
      <formula>0</formula>
    </cfRule>
    <cfRule type="cellIs" dxfId="387" priority="412" operator="greaterThan">
      <formula>0</formula>
    </cfRule>
  </conditionalFormatting>
  <conditionalFormatting sqref="I38">
    <cfRule type="cellIs" dxfId="386" priority="410" operator="greaterThan">
      <formula>0</formula>
    </cfRule>
  </conditionalFormatting>
  <conditionalFormatting sqref="I40">
    <cfRule type="cellIs" dxfId="385" priority="408" operator="greaterThan">
      <formula>0</formula>
    </cfRule>
    <cfRule type="cellIs" dxfId="384" priority="409" operator="greaterThan">
      <formula>0</formula>
    </cfRule>
  </conditionalFormatting>
  <conditionalFormatting sqref="I40">
    <cfRule type="cellIs" dxfId="383" priority="407" operator="greaterThan">
      <formula>0</formula>
    </cfRule>
  </conditionalFormatting>
  <conditionalFormatting sqref="I42">
    <cfRule type="cellIs" dxfId="382" priority="405" operator="greaterThan">
      <formula>0</formula>
    </cfRule>
    <cfRule type="cellIs" dxfId="381" priority="406" operator="greaterThan">
      <formula>0</formula>
    </cfRule>
  </conditionalFormatting>
  <conditionalFormatting sqref="I42">
    <cfRule type="cellIs" dxfId="380" priority="404" operator="greaterThan">
      <formula>0</formula>
    </cfRule>
  </conditionalFormatting>
  <conditionalFormatting sqref="I44">
    <cfRule type="cellIs" dxfId="379" priority="402" operator="greaterThan">
      <formula>0</formula>
    </cfRule>
    <cfRule type="cellIs" dxfId="378" priority="403" operator="greaterThan">
      <formula>0</formula>
    </cfRule>
  </conditionalFormatting>
  <conditionalFormatting sqref="I44">
    <cfRule type="cellIs" dxfId="377" priority="401" operator="greaterThan">
      <formula>0</formula>
    </cfRule>
  </conditionalFormatting>
  <conditionalFormatting sqref="I46">
    <cfRule type="cellIs" dxfId="376" priority="399" operator="greaterThan">
      <formula>0</formula>
    </cfRule>
    <cfRule type="cellIs" dxfId="375" priority="400" operator="greaterThan">
      <formula>0</formula>
    </cfRule>
  </conditionalFormatting>
  <conditionalFormatting sqref="I46">
    <cfRule type="cellIs" dxfId="374" priority="398" operator="greaterThan">
      <formula>0</formula>
    </cfRule>
  </conditionalFormatting>
  <conditionalFormatting sqref="I48">
    <cfRule type="cellIs" dxfId="373" priority="396" operator="greaterThan">
      <formula>0</formula>
    </cfRule>
    <cfRule type="cellIs" dxfId="372" priority="397" operator="greaterThan">
      <formula>0</formula>
    </cfRule>
  </conditionalFormatting>
  <conditionalFormatting sqref="I48">
    <cfRule type="cellIs" dxfId="371" priority="395" operator="greaterThan">
      <formula>0</formula>
    </cfRule>
  </conditionalFormatting>
  <conditionalFormatting sqref="J36">
    <cfRule type="cellIs" dxfId="370" priority="393" operator="greaterThan">
      <formula>0</formula>
    </cfRule>
    <cfRule type="cellIs" dxfId="369" priority="394" operator="greaterThan">
      <formula>0</formula>
    </cfRule>
  </conditionalFormatting>
  <conditionalFormatting sqref="J36">
    <cfRule type="cellIs" dxfId="368" priority="392" operator="greaterThan">
      <formula>0</formula>
    </cfRule>
  </conditionalFormatting>
  <conditionalFormatting sqref="J38">
    <cfRule type="cellIs" dxfId="367" priority="390" operator="greaterThan">
      <formula>0</formula>
    </cfRule>
    <cfRule type="cellIs" dxfId="366" priority="391" operator="greaterThan">
      <formula>0</formula>
    </cfRule>
  </conditionalFormatting>
  <conditionalFormatting sqref="J38">
    <cfRule type="cellIs" dxfId="365" priority="389" operator="greaterThan">
      <formula>0</formula>
    </cfRule>
  </conditionalFormatting>
  <conditionalFormatting sqref="J40">
    <cfRule type="cellIs" dxfId="364" priority="387" operator="greaterThan">
      <formula>0</formula>
    </cfRule>
    <cfRule type="cellIs" dxfId="363" priority="388" operator="greaterThan">
      <formula>0</formula>
    </cfRule>
  </conditionalFormatting>
  <conditionalFormatting sqref="J40">
    <cfRule type="cellIs" dxfId="362" priority="386" operator="greaterThan">
      <formula>0</formula>
    </cfRule>
  </conditionalFormatting>
  <conditionalFormatting sqref="J42">
    <cfRule type="cellIs" dxfId="361" priority="384" operator="greaterThan">
      <formula>0</formula>
    </cfRule>
    <cfRule type="cellIs" dxfId="360" priority="385" operator="greaterThan">
      <formula>0</formula>
    </cfRule>
  </conditionalFormatting>
  <conditionalFormatting sqref="J42">
    <cfRule type="cellIs" dxfId="359" priority="383" operator="greaterThan">
      <formula>0</formula>
    </cfRule>
  </conditionalFormatting>
  <conditionalFormatting sqref="J44">
    <cfRule type="cellIs" dxfId="358" priority="381" operator="greaterThan">
      <formula>0</formula>
    </cfRule>
    <cfRule type="cellIs" dxfId="357" priority="382" operator="greaterThan">
      <formula>0</formula>
    </cfRule>
  </conditionalFormatting>
  <conditionalFormatting sqref="J44">
    <cfRule type="cellIs" dxfId="356" priority="380" operator="greaterThan">
      <formula>0</formula>
    </cfRule>
  </conditionalFormatting>
  <conditionalFormatting sqref="J46">
    <cfRule type="cellIs" dxfId="355" priority="378" operator="greaterThan">
      <formula>0</formula>
    </cfRule>
    <cfRule type="cellIs" dxfId="354" priority="379" operator="greaterThan">
      <formula>0</formula>
    </cfRule>
  </conditionalFormatting>
  <conditionalFormatting sqref="J46">
    <cfRule type="cellIs" dxfId="353" priority="377" operator="greaterThan">
      <formula>0</formula>
    </cfRule>
  </conditionalFormatting>
  <conditionalFormatting sqref="J48">
    <cfRule type="cellIs" dxfId="352" priority="375" operator="greaterThan">
      <formula>0</formula>
    </cfRule>
    <cfRule type="cellIs" dxfId="351" priority="376" operator="greaterThan">
      <formula>0</formula>
    </cfRule>
  </conditionalFormatting>
  <conditionalFormatting sqref="J48">
    <cfRule type="cellIs" dxfId="350" priority="374" operator="greaterThan">
      <formula>0</formula>
    </cfRule>
  </conditionalFormatting>
  <conditionalFormatting sqref="D14">
    <cfRule type="cellIs" dxfId="349" priority="371" operator="greaterThan">
      <formula>0</formula>
    </cfRule>
    <cfRule type="cellIs" dxfId="348" priority="372" operator="greaterThan">
      <formula>0</formula>
    </cfRule>
    <cfRule type="cellIs" dxfId="347" priority="373" operator="greaterThan">
      <formula>" € - "</formula>
    </cfRule>
  </conditionalFormatting>
  <conditionalFormatting sqref="D14">
    <cfRule type="cellIs" dxfId="346" priority="369" operator="greaterThan">
      <formula>0</formula>
    </cfRule>
    <cfRule type="cellIs" dxfId="345" priority="370" operator="greaterThan">
      <formula>" € - "</formula>
    </cfRule>
  </conditionalFormatting>
  <conditionalFormatting sqref="D14">
    <cfRule type="cellIs" dxfId="344" priority="364" operator="greaterThan">
      <formula>0</formula>
    </cfRule>
    <cfRule type="cellIs" dxfId="343" priority="365" operator="greaterThan">
      <formula>0</formula>
    </cfRule>
    <cfRule type="cellIs" dxfId="342" priority="366" operator="greaterThan">
      <formula>0</formula>
    </cfRule>
    <cfRule type="cellIs" dxfId="341" priority="367" operator="greaterThan">
      <formula>0</formula>
    </cfRule>
    <cfRule type="cellIs" dxfId="340" priority="368" operator="greaterThan">
      <formula>0</formula>
    </cfRule>
  </conditionalFormatting>
  <conditionalFormatting sqref="D14">
    <cfRule type="cellIs" dxfId="339" priority="363" operator="greaterThan">
      <formula>0</formula>
    </cfRule>
  </conditionalFormatting>
  <conditionalFormatting sqref="D16">
    <cfRule type="cellIs" dxfId="338" priority="360" operator="greaterThan">
      <formula>0</formula>
    </cfRule>
    <cfRule type="cellIs" dxfId="337" priority="361" operator="greaterThan">
      <formula>0</formula>
    </cfRule>
    <cfRule type="cellIs" dxfId="336" priority="362" operator="greaterThan">
      <formula>" € - "</formula>
    </cfRule>
  </conditionalFormatting>
  <conditionalFormatting sqref="D16">
    <cfRule type="cellIs" dxfId="335" priority="358" operator="greaterThan">
      <formula>0</formula>
    </cfRule>
    <cfRule type="cellIs" dxfId="334" priority="359" operator="greaterThan">
      <formula>" € - "</formula>
    </cfRule>
  </conditionalFormatting>
  <conditionalFormatting sqref="D16">
    <cfRule type="cellIs" dxfId="333" priority="353" operator="greaterThan">
      <formula>0</formula>
    </cfRule>
    <cfRule type="cellIs" dxfId="332" priority="354" operator="greaterThan">
      <formula>0</formula>
    </cfRule>
    <cfRule type="cellIs" dxfId="331" priority="355" operator="greaterThan">
      <formula>0</formula>
    </cfRule>
    <cfRule type="cellIs" dxfId="330" priority="356" operator="greaterThan">
      <formula>0</formula>
    </cfRule>
    <cfRule type="cellIs" dxfId="329" priority="357" operator="greaterThan">
      <formula>0</formula>
    </cfRule>
  </conditionalFormatting>
  <conditionalFormatting sqref="D16">
    <cfRule type="cellIs" dxfId="328" priority="352" operator="greaterThan">
      <formula>0</formula>
    </cfRule>
  </conditionalFormatting>
  <conditionalFormatting sqref="D18">
    <cfRule type="cellIs" dxfId="327" priority="349" operator="greaterThan">
      <formula>0</formula>
    </cfRule>
    <cfRule type="cellIs" dxfId="326" priority="350" operator="greaterThan">
      <formula>0</formula>
    </cfRule>
    <cfRule type="cellIs" dxfId="325" priority="351" operator="greaterThan">
      <formula>" € - "</formula>
    </cfRule>
  </conditionalFormatting>
  <conditionalFormatting sqref="D18">
    <cfRule type="cellIs" dxfId="324" priority="347" operator="greaterThan">
      <formula>0</formula>
    </cfRule>
    <cfRule type="cellIs" dxfId="323" priority="348" operator="greaterThan">
      <formula>" € - "</formula>
    </cfRule>
  </conditionalFormatting>
  <conditionalFormatting sqref="D18">
    <cfRule type="cellIs" dxfId="322" priority="342" operator="greaterThan">
      <formula>0</formula>
    </cfRule>
    <cfRule type="cellIs" dxfId="321" priority="343" operator="greaterThan">
      <formula>0</formula>
    </cfRule>
    <cfRule type="cellIs" dxfId="320" priority="344" operator="greaterThan">
      <formula>0</formula>
    </cfRule>
    <cfRule type="cellIs" dxfId="319" priority="345" operator="greaterThan">
      <formula>0</formula>
    </cfRule>
    <cfRule type="cellIs" dxfId="318" priority="346" operator="greaterThan">
      <formula>0</formula>
    </cfRule>
  </conditionalFormatting>
  <conditionalFormatting sqref="D18">
    <cfRule type="cellIs" dxfId="317" priority="341" operator="greaterThan">
      <formula>0</formula>
    </cfRule>
  </conditionalFormatting>
  <conditionalFormatting sqref="D20">
    <cfRule type="cellIs" dxfId="316" priority="338" operator="greaterThan">
      <formula>0</formula>
    </cfRule>
    <cfRule type="cellIs" dxfId="315" priority="339" operator="greaterThan">
      <formula>0</formula>
    </cfRule>
    <cfRule type="cellIs" dxfId="314" priority="340" operator="greaterThan">
      <formula>" € - "</formula>
    </cfRule>
  </conditionalFormatting>
  <conditionalFormatting sqref="D20">
    <cfRule type="cellIs" dxfId="313" priority="336" operator="greaterThan">
      <formula>0</formula>
    </cfRule>
    <cfRule type="cellIs" dxfId="312" priority="337" operator="greaterThan">
      <formula>" € - "</formula>
    </cfRule>
  </conditionalFormatting>
  <conditionalFormatting sqref="D20">
    <cfRule type="cellIs" dxfId="311" priority="331" operator="greaterThan">
      <formula>0</formula>
    </cfRule>
    <cfRule type="cellIs" dxfId="310" priority="332" operator="greaterThan">
      <formula>0</formula>
    </cfRule>
    <cfRule type="cellIs" dxfId="309" priority="333" operator="greaterThan">
      <formula>0</formula>
    </cfRule>
    <cfRule type="cellIs" dxfId="308" priority="334" operator="greaterThan">
      <formula>0</formula>
    </cfRule>
    <cfRule type="cellIs" dxfId="307" priority="335" operator="greaterThan">
      <formula>0</formula>
    </cfRule>
  </conditionalFormatting>
  <conditionalFormatting sqref="D20">
    <cfRule type="cellIs" dxfId="306" priority="330" operator="greaterThan">
      <formula>0</formula>
    </cfRule>
  </conditionalFormatting>
  <conditionalFormatting sqref="D22">
    <cfRule type="cellIs" dxfId="305" priority="327" operator="greaterThan">
      <formula>0</formula>
    </cfRule>
    <cfRule type="cellIs" dxfId="304" priority="328" operator="greaterThan">
      <formula>0</formula>
    </cfRule>
    <cfRule type="cellIs" dxfId="303" priority="329" operator="greaterThan">
      <formula>" € - "</formula>
    </cfRule>
  </conditionalFormatting>
  <conditionalFormatting sqref="D22">
    <cfRule type="cellIs" dxfId="302" priority="325" operator="greaterThan">
      <formula>0</formula>
    </cfRule>
    <cfRule type="cellIs" dxfId="301" priority="326" operator="greaterThan">
      <formula>" € - "</formula>
    </cfRule>
  </conditionalFormatting>
  <conditionalFormatting sqref="D22">
    <cfRule type="cellIs" dxfId="300" priority="320" operator="greaterThan">
      <formula>0</formula>
    </cfRule>
    <cfRule type="cellIs" dxfId="299" priority="321" operator="greaterThan">
      <formula>0</formula>
    </cfRule>
    <cfRule type="cellIs" dxfId="298" priority="322" operator="greaterThan">
      <formula>0</formula>
    </cfRule>
    <cfRule type="cellIs" dxfId="297" priority="323" operator="greaterThan">
      <formula>0</formula>
    </cfRule>
    <cfRule type="cellIs" dxfId="296" priority="324" operator="greaterThan">
      <formula>0</formula>
    </cfRule>
  </conditionalFormatting>
  <conditionalFormatting sqref="D22">
    <cfRule type="cellIs" dxfId="295" priority="319" operator="greaterThan">
      <formula>0</formula>
    </cfRule>
  </conditionalFormatting>
  <conditionalFormatting sqref="D24">
    <cfRule type="cellIs" dxfId="294" priority="316" operator="greaterThan">
      <formula>0</formula>
    </cfRule>
    <cfRule type="cellIs" dxfId="293" priority="317" operator="greaterThan">
      <formula>0</formula>
    </cfRule>
    <cfRule type="cellIs" dxfId="292" priority="318" operator="greaterThan">
      <formula>" € - "</formula>
    </cfRule>
  </conditionalFormatting>
  <conditionalFormatting sqref="D24">
    <cfRule type="cellIs" dxfId="291" priority="314" operator="greaterThan">
      <formula>0</formula>
    </cfRule>
    <cfRule type="cellIs" dxfId="290" priority="315" operator="greaterThan">
      <formula>" € - "</formula>
    </cfRule>
  </conditionalFormatting>
  <conditionalFormatting sqref="D24">
    <cfRule type="cellIs" dxfId="289" priority="309" operator="greaterThan">
      <formula>0</formula>
    </cfRule>
    <cfRule type="cellIs" dxfId="288" priority="310" operator="greaterThan">
      <formula>0</formula>
    </cfRule>
    <cfRule type="cellIs" dxfId="287" priority="311" operator="greaterThan">
      <formula>0</formula>
    </cfRule>
    <cfRule type="cellIs" dxfId="286" priority="312" operator="greaterThan">
      <formula>0</formula>
    </cfRule>
    <cfRule type="cellIs" dxfId="285" priority="313" operator="greaterThan">
      <formula>0</formula>
    </cfRule>
  </conditionalFormatting>
  <conditionalFormatting sqref="D24">
    <cfRule type="cellIs" dxfId="284" priority="308" operator="greaterThan">
      <formula>0</formula>
    </cfRule>
  </conditionalFormatting>
  <conditionalFormatting sqref="L29">
    <cfRule type="cellIs" dxfId="283" priority="307" operator="greaterThan">
      <formula>0</formula>
    </cfRule>
  </conditionalFormatting>
  <conditionalFormatting sqref="I32 I34 I36 I38 I40 I42 I44 I46 I48">
    <cfRule type="cellIs" dxfId="282" priority="306" operator="greaterThan">
      <formula>0</formula>
    </cfRule>
  </conditionalFormatting>
  <conditionalFormatting sqref="I30">
    <cfRule type="cellIs" dxfId="281" priority="304" operator="greaterThan">
      <formula>0</formula>
    </cfRule>
    <cfRule type="cellIs" dxfId="280" priority="305" operator="greaterThan">
      <formula>0</formula>
    </cfRule>
  </conditionalFormatting>
  <conditionalFormatting sqref="I30">
    <cfRule type="cellIs" dxfId="279" priority="303" operator="greaterThan">
      <formula>0</formula>
    </cfRule>
  </conditionalFormatting>
  <conditionalFormatting sqref="I30">
    <cfRule type="cellIs" dxfId="278" priority="302" operator="greaterThan">
      <formula>0</formula>
    </cfRule>
  </conditionalFormatting>
  <conditionalFormatting sqref="I32">
    <cfRule type="cellIs" dxfId="277" priority="300" operator="greaterThan">
      <formula>0</formula>
    </cfRule>
    <cfRule type="cellIs" dxfId="276" priority="301" operator="greaterThan">
      <formula>0</formula>
    </cfRule>
  </conditionalFormatting>
  <conditionalFormatting sqref="I32">
    <cfRule type="cellIs" dxfId="275" priority="299" operator="greaterThan">
      <formula>0</formula>
    </cfRule>
  </conditionalFormatting>
  <conditionalFormatting sqref="I32">
    <cfRule type="cellIs" dxfId="274" priority="297" operator="greaterThan">
      <formula>0</formula>
    </cfRule>
    <cfRule type="cellIs" dxfId="273" priority="298" operator="greaterThan">
      <formula>0</formula>
    </cfRule>
  </conditionalFormatting>
  <conditionalFormatting sqref="I32">
    <cfRule type="cellIs" dxfId="272" priority="296" operator="greaterThan">
      <formula>0</formula>
    </cfRule>
  </conditionalFormatting>
  <conditionalFormatting sqref="I32">
    <cfRule type="cellIs" dxfId="271" priority="295" operator="greaterThan">
      <formula>0</formula>
    </cfRule>
  </conditionalFormatting>
  <conditionalFormatting sqref="L29">
    <cfRule type="cellIs" dxfId="270" priority="282" operator="greaterThan">
      <formula>0</formula>
    </cfRule>
    <cfRule type="cellIs" dxfId="269" priority="283" operator="greaterThan">
      <formula>0</formula>
    </cfRule>
  </conditionalFormatting>
  <conditionalFormatting sqref="L29">
    <cfRule type="cellIs" dxfId="268" priority="281" operator="greaterThan">
      <formula>0</formula>
    </cfRule>
  </conditionalFormatting>
  <conditionalFormatting sqref="L29">
    <cfRule type="cellIs" dxfId="267" priority="280" operator="greaterThan">
      <formula>0</formula>
    </cfRule>
  </conditionalFormatting>
  <conditionalFormatting sqref="L29">
    <cfRule type="cellIs" dxfId="266" priority="278" operator="greaterThan">
      <formula>0</formula>
    </cfRule>
    <cfRule type="cellIs" dxfId="265" priority="279" operator="greaterThan">
      <formula>0</formula>
    </cfRule>
  </conditionalFormatting>
  <conditionalFormatting sqref="L29">
    <cfRule type="cellIs" dxfId="264" priority="277" operator="greaterThan">
      <formula>0</formula>
    </cfRule>
  </conditionalFormatting>
  <conditionalFormatting sqref="L29">
    <cfRule type="cellIs" dxfId="263" priority="275" operator="greaterThan">
      <formula>0</formula>
    </cfRule>
    <cfRule type="cellIs" dxfId="262" priority="276" operator="greaterThan">
      <formula>0</formula>
    </cfRule>
  </conditionalFormatting>
  <conditionalFormatting sqref="L29">
    <cfRule type="cellIs" dxfId="261" priority="274" operator="greaterThan">
      <formula>0</formula>
    </cfRule>
  </conditionalFormatting>
  <conditionalFormatting sqref="L29">
    <cfRule type="cellIs" dxfId="260" priority="273" operator="greaterThan">
      <formula>0</formula>
    </cfRule>
  </conditionalFormatting>
  <conditionalFormatting sqref="I34">
    <cfRule type="cellIs" dxfId="259" priority="261" operator="greaterThan">
      <formula>0</formula>
    </cfRule>
  </conditionalFormatting>
  <conditionalFormatting sqref="I34">
    <cfRule type="cellIs" dxfId="258" priority="259" operator="greaterThan">
      <formula>0</formula>
    </cfRule>
    <cfRule type="cellIs" dxfId="257" priority="260" operator="greaterThan">
      <formula>0</formula>
    </cfRule>
  </conditionalFormatting>
  <conditionalFormatting sqref="I34">
    <cfRule type="cellIs" dxfId="256" priority="258" operator="greaterThan">
      <formula>0</formula>
    </cfRule>
  </conditionalFormatting>
  <conditionalFormatting sqref="I34">
    <cfRule type="cellIs" dxfId="255" priority="257" operator="greaterThan">
      <formula>0</formula>
    </cfRule>
  </conditionalFormatting>
  <conditionalFormatting sqref="I34">
    <cfRule type="cellIs" dxfId="254" priority="255" operator="greaterThan">
      <formula>0</formula>
    </cfRule>
    <cfRule type="cellIs" dxfId="253" priority="256" operator="greaterThan">
      <formula>0</formula>
    </cfRule>
  </conditionalFormatting>
  <conditionalFormatting sqref="I34">
    <cfRule type="cellIs" dxfId="252" priority="254" operator="greaterThan">
      <formula>0</formula>
    </cfRule>
  </conditionalFormatting>
  <conditionalFormatting sqref="I34">
    <cfRule type="cellIs" dxfId="251" priority="252" operator="greaterThan">
      <formula>0</formula>
    </cfRule>
    <cfRule type="cellIs" dxfId="250" priority="253" operator="greaterThan">
      <formula>0</formula>
    </cfRule>
  </conditionalFormatting>
  <conditionalFormatting sqref="I34">
    <cfRule type="cellIs" dxfId="249" priority="251" operator="greaterThan">
      <formula>0</formula>
    </cfRule>
  </conditionalFormatting>
  <conditionalFormatting sqref="I34">
    <cfRule type="cellIs" dxfId="248" priority="250" operator="greaterThan">
      <formula>0</formula>
    </cfRule>
  </conditionalFormatting>
  <conditionalFormatting sqref="I36">
    <cfRule type="cellIs" dxfId="247" priority="248" operator="greaterThan">
      <formula>0</formula>
    </cfRule>
    <cfRule type="cellIs" dxfId="246" priority="249" operator="greaterThan">
      <formula>0</formula>
    </cfRule>
  </conditionalFormatting>
  <conditionalFormatting sqref="I36">
    <cfRule type="cellIs" dxfId="245" priority="247" operator="greaterThan">
      <formula>0</formula>
    </cfRule>
  </conditionalFormatting>
  <conditionalFormatting sqref="I36">
    <cfRule type="cellIs" dxfId="244" priority="246" operator="greaterThan">
      <formula>0</formula>
    </cfRule>
  </conditionalFormatting>
  <conditionalFormatting sqref="I36">
    <cfRule type="cellIs" dxfId="243" priority="244" operator="greaterThan">
      <formula>0</formula>
    </cfRule>
    <cfRule type="cellIs" dxfId="242" priority="245" operator="greaterThan">
      <formula>0</formula>
    </cfRule>
  </conditionalFormatting>
  <conditionalFormatting sqref="I36">
    <cfRule type="cellIs" dxfId="241" priority="243" operator="greaterThan">
      <formula>0</formula>
    </cfRule>
  </conditionalFormatting>
  <conditionalFormatting sqref="I36">
    <cfRule type="cellIs" dxfId="240" priority="242" operator="greaterThan">
      <formula>0</formula>
    </cfRule>
  </conditionalFormatting>
  <conditionalFormatting sqref="I36">
    <cfRule type="cellIs" dxfId="239" priority="240" operator="greaterThan">
      <formula>0</formula>
    </cfRule>
    <cfRule type="cellIs" dxfId="238" priority="241" operator="greaterThan">
      <formula>0</formula>
    </cfRule>
  </conditionalFormatting>
  <conditionalFormatting sqref="I36">
    <cfRule type="cellIs" dxfId="237" priority="239" operator="greaterThan">
      <formula>0</formula>
    </cfRule>
  </conditionalFormatting>
  <conditionalFormatting sqref="I36">
    <cfRule type="cellIs" dxfId="236" priority="237" operator="greaterThan">
      <formula>0</formula>
    </cfRule>
    <cfRule type="cellIs" dxfId="235" priority="238" operator="greaterThan">
      <formula>0</formula>
    </cfRule>
  </conditionalFormatting>
  <conditionalFormatting sqref="I36">
    <cfRule type="cellIs" dxfId="234" priority="236" operator="greaterThan">
      <formula>0</formula>
    </cfRule>
  </conditionalFormatting>
  <conditionalFormatting sqref="I36">
    <cfRule type="cellIs" dxfId="233" priority="235" operator="greaterThan">
      <formula>0</formula>
    </cfRule>
  </conditionalFormatting>
  <conditionalFormatting sqref="I38">
    <cfRule type="cellIs" dxfId="232" priority="233" operator="greaterThan">
      <formula>0</formula>
    </cfRule>
    <cfRule type="cellIs" dxfId="231" priority="234" operator="greaterThan">
      <formula>0</formula>
    </cfRule>
  </conditionalFormatting>
  <conditionalFormatting sqref="I38">
    <cfRule type="cellIs" dxfId="230" priority="232" operator="greaterThan">
      <formula>0</formula>
    </cfRule>
  </conditionalFormatting>
  <conditionalFormatting sqref="I38">
    <cfRule type="cellIs" dxfId="229" priority="230" operator="greaterThan">
      <formula>0</formula>
    </cfRule>
    <cfRule type="cellIs" dxfId="228" priority="231" operator="greaterThan">
      <formula>0</formula>
    </cfRule>
  </conditionalFormatting>
  <conditionalFormatting sqref="I38">
    <cfRule type="cellIs" dxfId="227" priority="229" operator="greaterThan">
      <formula>0</formula>
    </cfRule>
  </conditionalFormatting>
  <conditionalFormatting sqref="I38">
    <cfRule type="cellIs" dxfId="226" priority="228" operator="greaterThan">
      <formula>0</formula>
    </cfRule>
  </conditionalFormatting>
  <conditionalFormatting sqref="I38">
    <cfRule type="cellIs" dxfId="225" priority="226" operator="greaterThan">
      <formula>0</formula>
    </cfRule>
    <cfRule type="cellIs" dxfId="224" priority="227" operator="greaterThan">
      <formula>0</formula>
    </cfRule>
  </conditionalFormatting>
  <conditionalFormatting sqref="I38">
    <cfRule type="cellIs" dxfId="223" priority="225" operator="greaterThan">
      <formula>0</formula>
    </cfRule>
  </conditionalFormatting>
  <conditionalFormatting sqref="I38">
    <cfRule type="cellIs" dxfId="222" priority="224" operator="greaterThan">
      <formula>0</formula>
    </cfRule>
  </conditionalFormatting>
  <conditionalFormatting sqref="I38">
    <cfRule type="cellIs" dxfId="221" priority="222" operator="greaterThan">
      <formula>0</formula>
    </cfRule>
    <cfRule type="cellIs" dxfId="220" priority="223" operator="greaterThan">
      <formula>0</formula>
    </cfRule>
  </conditionalFormatting>
  <conditionalFormatting sqref="I38">
    <cfRule type="cellIs" dxfId="219" priority="221" operator="greaterThan">
      <formula>0</formula>
    </cfRule>
  </conditionalFormatting>
  <conditionalFormatting sqref="I38">
    <cfRule type="cellIs" dxfId="218" priority="219" operator="greaterThan">
      <formula>0</formula>
    </cfRule>
    <cfRule type="cellIs" dxfId="217" priority="220" operator="greaterThan">
      <formula>0</formula>
    </cfRule>
  </conditionalFormatting>
  <conditionalFormatting sqref="I38">
    <cfRule type="cellIs" dxfId="216" priority="218" operator="greaterThan">
      <formula>0</formula>
    </cfRule>
  </conditionalFormatting>
  <conditionalFormatting sqref="I38">
    <cfRule type="cellIs" dxfId="215" priority="217" operator="greaterThan">
      <formula>0</formula>
    </cfRule>
  </conditionalFormatting>
  <conditionalFormatting sqref="I40">
    <cfRule type="cellIs" dxfId="214" priority="215" operator="greaterThan">
      <formula>0</formula>
    </cfRule>
    <cfRule type="cellIs" dxfId="213" priority="216" operator="greaterThan">
      <formula>0</formula>
    </cfRule>
  </conditionalFormatting>
  <conditionalFormatting sqref="I40">
    <cfRule type="cellIs" dxfId="212" priority="214" operator="greaterThan">
      <formula>0</formula>
    </cfRule>
  </conditionalFormatting>
  <conditionalFormatting sqref="I40">
    <cfRule type="cellIs" dxfId="211" priority="212" operator="greaterThan">
      <formula>0</formula>
    </cfRule>
    <cfRule type="cellIs" dxfId="210" priority="213" operator="greaterThan">
      <formula>0</formula>
    </cfRule>
  </conditionalFormatting>
  <conditionalFormatting sqref="I40">
    <cfRule type="cellIs" dxfId="209" priority="211" operator="greaterThan">
      <formula>0</formula>
    </cfRule>
  </conditionalFormatting>
  <conditionalFormatting sqref="I40">
    <cfRule type="cellIs" dxfId="208" priority="209" operator="greaterThan">
      <formula>0</formula>
    </cfRule>
    <cfRule type="cellIs" dxfId="207" priority="210" operator="greaterThan">
      <formula>0</formula>
    </cfRule>
  </conditionalFormatting>
  <conditionalFormatting sqref="I40">
    <cfRule type="cellIs" dxfId="206" priority="208" operator="greaterThan">
      <formula>0</formula>
    </cfRule>
  </conditionalFormatting>
  <conditionalFormatting sqref="I40">
    <cfRule type="cellIs" dxfId="205" priority="207" operator="greaterThan">
      <formula>0</formula>
    </cfRule>
  </conditionalFormatting>
  <conditionalFormatting sqref="I40">
    <cfRule type="cellIs" dxfId="204" priority="205" operator="greaterThan">
      <formula>0</formula>
    </cfRule>
    <cfRule type="cellIs" dxfId="203" priority="206" operator="greaterThan">
      <formula>0</formula>
    </cfRule>
  </conditionalFormatting>
  <conditionalFormatting sqref="I40">
    <cfRule type="cellIs" dxfId="202" priority="204" operator="greaterThan">
      <formula>0</formula>
    </cfRule>
  </conditionalFormatting>
  <conditionalFormatting sqref="I40">
    <cfRule type="cellIs" dxfId="201" priority="203" operator="greaterThan">
      <formula>0</formula>
    </cfRule>
  </conditionalFormatting>
  <conditionalFormatting sqref="I40">
    <cfRule type="cellIs" dxfId="200" priority="201" operator="greaterThan">
      <formula>0</formula>
    </cfRule>
    <cfRule type="cellIs" dxfId="199" priority="202" operator="greaterThan">
      <formula>0</formula>
    </cfRule>
  </conditionalFormatting>
  <conditionalFormatting sqref="I40">
    <cfRule type="cellIs" dxfId="198" priority="200" operator="greaterThan">
      <formula>0</formula>
    </cfRule>
  </conditionalFormatting>
  <conditionalFormatting sqref="I40">
    <cfRule type="cellIs" dxfId="197" priority="198" operator="greaterThan">
      <formula>0</formula>
    </cfRule>
    <cfRule type="cellIs" dxfId="196" priority="199" operator="greaterThan">
      <formula>0</formula>
    </cfRule>
  </conditionalFormatting>
  <conditionalFormatting sqref="I40">
    <cfRule type="cellIs" dxfId="195" priority="197" operator="greaterThan">
      <formula>0</formula>
    </cfRule>
  </conditionalFormatting>
  <conditionalFormatting sqref="I40">
    <cfRule type="cellIs" dxfId="194" priority="196" operator="greaterThan">
      <formula>0</formula>
    </cfRule>
  </conditionalFormatting>
  <conditionalFormatting sqref="I42">
    <cfRule type="cellIs" dxfId="193" priority="194" operator="greaterThan">
      <formula>0</formula>
    </cfRule>
    <cfRule type="cellIs" dxfId="192" priority="195" operator="greaterThan">
      <formula>0</formula>
    </cfRule>
  </conditionalFormatting>
  <conditionalFormatting sqref="I42">
    <cfRule type="cellIs" dxfId="191" priority="193" operator="greaterThan">
      <formula>0</formula>
    </cfRule>
  </conditionalFormatting>
  <conditionalFormatting sqref="I42">
    <cfRule type="cellIs" dxfId="190" priority="191" operator="greaterThan">
      <formula>0</formula>
    </cfRule>
    <cfRule type="cellIs" dxfId="189" priority="192" operator="greaterThan">
      <formula>0</formula>
    </cfRule>
  </conditionalFormatting>
  <conditionalFormatting sqref="I42">
    <cfRule type="cellIs" dxfId="188" priority="190" operator="greaterThan">
      <formula>0</formula>
    </cfRule>
  </conditionalFormatting>
  <conditionalFormatting sqref="I42">
    <cfRule type="cellIs" dxfId="187" priority="188" operator="greaterThan">
      <formula>0</formula>
    </cfRule>
    <cfRule type="cellIs" dxfId="186" priority="189" operator="greaterThan">
      <formula>0</formula>
    </cfRule>
  </conditionalFormatting>
  <conditionalFormatting sqref="I42">
    <cfRule type="cellIs" dxfId="185" priority="187" operator="greaterThan">
      <formula>0</formula>
    </cfRule>
  </conditionalFormatting>
  <conditionalFormatting sqref="I42">
    <cfRule type="cellIs" dxfId="184" priority="185" operator="greaterThan">
      <formula>0</formula>
    </cfRule>
    <cfRule type="cellIs" dxfId="183" priority="186" operator="greaterThan">
      <formula>0</formula>
    </cfRule>
  </conditionalFormatting>
  <conditionalFormatting sqref="I42">
    <cfRule type="cellIs" dxfId="182" priority="184" operator="greaterThan">
      <formula>0</formula>
    </cfRule>
  </conditionalFormatting>
  <conditionalFormatting sqref="I42">
    <cfRule type="cellIs" dxfId="181" priority="183" operator="greaterThan">
      <formula>0</formula>
    </cfRule>
  </conditionalFormatting>
  <conditionalFormatting sqref="I42">
    <cfRule type="cellIs" dxfId="180" priority="181" operator="greaterThan">
      <formula>0</formula>
    </cfRule>
    <cfRule type="cellIs" dxfId="179" priority="182" operator="greaterThan">
      <formula>0</formula>
    </cfRule>
  </conditionalFormatting>
  <conditionalFormatting sqref="I42">
    <cfRule type="cellIs" dxfId="178" priority="180" operator="greaterThan">
      <formula>0</formula>
    </cfRule>
  </conditionalFormatting>
  <conditionalFormatting sqref="I42">
    <cfRule type="cellIs" dxfId="177" priority="179" operator="greaterThan">
      <formula>0</formula>
    </cfRule>
  </conditionalFormatting>
  <conditionalFormatting sqref="I42">
    <cfRule type="cellIs" dxfId="176" priority="177" operator="greaterThan">
      <formula>0</formula>
    </cfRule>
    <cfRule type="cellIs" dxfId="175" priority="178" operator="greaterThan">
      <formula>0</formula>
    </cfRule>
  </conditionalFormatting>
  <conditionalFormatting sqref="I42">
    <cfRule type="cellIs" dxfId="174" priority="176" operator="greaterThan">
      <formula>0</formula>
    </cfRule>
  </conditionalFormatting>
  <conditionalFormatting sqref="I42">
    <cfRule type="cellIs" dxfId="173" priority="174" operator="greaterThan">
      <formula>0</formula>
    </cfRule>
    <cfRule type="cellIs" dxfId="172" priority="175" operator="greaterThan">
      <formula>0</formula>
    </cfRule>
  </conditionalFormatting>
  <conditionalFormatting sqref="I42">
    <cfRule type="cellIs" dxfId="171" priority="173" operator="greaterThan">
      <formula>0</formula>
    </cfRule>
  </conditionalFormatting>
  <conditionalFormatting sqref="I42">
    <cfRule type="cellIs" dxfId="170" priority="172" operator="greaterThan">
      <formula>0</formula>
    </cfRule>
  </conditionalFormatting>
  <conditionalFormatting sqref="I44">
    <cfRule type="cellIs" dxfId="169" priority="170" operator="greaterThan">
      <formula>0</formula>
    </cfRule>
    <cfRule type="cellIs" dxfId="168" priority="171" operator="greaterThan">
      <formula>0</formula>
    </cfRule>
  </conditionalFormatting>
  <conditionalFormatting sqref="I44">
    <cfRule type="cellIs" dxfId="167" priority="169" operator="greaterThan">
      <formula>0</formula>
    </cfRule>
  </conditionalFormatting>
  <conditionalFormatting sqref="I44">
    <cfRule type="cellIs" dxfId="166" priority="167" operator="greaterThan">
      <formula>0</formula>
    </cfRule>
    <cfRule type="cellIs" dxfId="165" priority="168" operator="greaterThan">
      <formula>0</formula>
    </cfRule>
  </conditionalFormatting>
  <conditionalFormatting sqref="I44">
    <cfRule type="cellIs" dxfId="164" priority="166" operator="greaterThan">
      <formula>0</formula>
    </cfRule>
  </conditionalFormatting>
  <conditionalFormatting sqref="I44">
    <cfRule type="cellIs" dxfId="163" priority="164" operator="greaterThan">
      <formula>0</formula>
    </cfRule>
    <cfRule type="cellIs" dxfId="162" priority="165" operator="greaterThan">
      <formula>0</formula>
    </cfRule>
  </conditionalFormatting>
  <conditionalFormatting sqref="I44">
    <cfRule type="cellIs" dxfId="161" priority="163" operator="greaterThan">
      <formula>0</formula>
    </cfRule>
  </conditionalFormatting>
  <conditionalFormatting sqref="I44">
    <cfRule type="cellIs" dxfId="160" priority="161" operator="greaterThan">
      <formula>0</formula>
    </cfRule>
    <cfRule type="cellIs" dxfId="159" priority="162" operator="greaterThan">
      <formula>0</formula>
    </cfRule>
  </conditionalFormatting>
  <conditionalFormatting sqref="I44">
    <cfRule type="cellIs" dxfId="158" priority="160" operator="greaterThan">
      <formula>0</formula>
    </cfRule>
  </conditionalFormatting>
  <conditionalFormatting sqref="I44">
    <cfRule type="cellIs" dxfId="157" priority="158" operator="greaterThan">
      <formula>0</formula>
    </cfRule>
    <cfRule type="cellIs" dxfId="156" priority="159" operator="greaterThan">
      <formula>0</formula>
    </cfRule>
  </conditionalFormatting>
  <conditionalFormatting sqref="I44">
    <cfRule type="cellIs" dxfId="155" priority="157" operator="greaterThan">
      <formula>0</formula>
    </cfRule>
  </conditionalFormatting>
  <conditionalFormatting sqref="I44">
    <cfRule type="cellIs" dxfId="154" priority="156" operator="greaterThan">
      <formula>0</formula>
    </cfRule>
  </conditionalFormatting>
  <conditionalFormatting sqref="I44">
    <cfRule type="cellIs" dxfId="153" priority="154" operator="greaterThan">
      <formula>0</formula>
    </cfRule>
    <cfRule type="cellIs" dxfId="152" priority="155" operator="greaterThan">
      <formula>0</formula>
    </cfRule>
  </conditionalFormatting>
  <conditionalFormatting sqref="I44">
    <cfRule type="cellIs" dxfId="151" priority="153" operator="greaterThan">
      <formula>0</formula>
    </cfRule>
  </conditionalFormatting>
  <conditionalFormatting sqref="I44">
    <cfRule type="cellIs" dxfId="150" priority="152" operator="greaterThan">
      <formula>0</formula>
    </cfRule>
  </conditionalFormatting>
  <conditionalFormatting sqref="I44">
    <cfRule type="cellIs" dxfId="149" priority="150" operator="greaterThan">
      <formula>0</formula>
    </cfRule>
    <cfRule type="cellIs" dxfId="148" priority="151" operator="greaterThan">
      <formula>0</formula>
    </cfRule>
  </conditionalFormatting>
  <conditionalFormatting sqref="I44">
    <cfRule type="cellIs" dxfId="147" priority="149" operator="greaterThan">
      <formula>0</formula>
    </cfRule>
  </conditionalFormatting>
  <conditionalFormatting sqref="I44">
    <cfRule type="cellIs" dxfId="146" priority="147" operator="greaterThan">
      <formula>0</formula>
    </cfRule>
    <cfRule type="cellIs" dxfId="145" priority="148" operator="greaterThan">
      <formula>0</formula>
    </cfRule>
  </conditionalFormatting>
  <conditionalFormatting sqref="I44">
    <cfRule type="cellIs" dxfId="144" priority="146" operator="greaterThan">
      <formula>0</formula>
    </cfRule>
  </conditionalFormatting>
  <conditionalFormatting sqref="I44">
    <cfRule type="cellIs" dxfId="143" priority="145" operator="greaterThan">
      <formula>0</formula>
    </cfRule>
  </conditionalFormatting>
  <conditionalFormatting sqref="I46">
    <cfRule type="cellIs" dxfId="142" priority="143" operator="greaterThan">
      <formula>0</formula>
    </cfRule>
    <cfRule type="cellIs" dxfId="141" priority="144" operator="greaterThan">
      <formula>0</formula>
    </cfRule>
  </conditionalFormatting>
  <conditionalFormatting sqref="I46">
    <cfRule type="cellIs" dxfId="140" priority="142" operator="greaterThan">
      <formula>0</formula>
    </cfRule>
  </conditionalFormatting>
  <conditionalFormatting sqref="I46">
    <cfRule type="cellIs" dxfId="139" priority="140" operator="greaterThan">
      <formula>0</formula>
    </cfRule>
    <cfRule type="cellIs" dxfId="138" priority="141" operator="greaterThan">
      <formula>0</formula>
    </cfRule>
  </conditionalFormatting>
  <conditionalFormatting sqref="I46">
    <cfRule type="cellIs" dxfId="137" priority="139" operator="greaterThan">
      <formula>0</formula>
    </cfRule>
  </conditionalFormatting>
  <conditionalFormatting sqref="I46">
    <cfRule type="cellIs" dxfId="136" priority="137" operator="greaterThan">
      <formula>0</formula>
    </cfRule>
    <cfRule type="cellIs" dxfId="135" priority="138" operator="greaterThan">
      <formula>0</formula>
    </cfRule>
  </conditionalFormatting>
  <conditionalFormatting sqref="I46">
    <cfRule type="cellIs" dxfId="134" priority="136" operator="greaterThan">
      <formula>0</formula>
    </cfRule>
  </conditionalFormatting>
  <conditionalFormatting sqref="I46">
    <cfRule type="cellIs" dxfId="133" priority="134" operator="greaterThan">
      <formula>0</formula>
    </cfRule>
    <cfRule type="cellIs" dxfId="132" priority="135" operator="greaterThan">
      <formula>0</formula>
    </cfRule>
  </conditionalFormatting>
  <conditionalFormatting sqref="I46">
    <cfRule type="cellIs" dxfId="131" priority="133" operator="greaterThan">
      <formula>0</formula>
    </cfRule>
  </conditionalFormatting>
  <conditionalFormatting sqref="I46">
    <cfRule type="cellIs" dxfId="130" priority="131" operator="greaterThan">
      <formula>0</formula>
    </cfRule>
    <cfRule type="cellIs" dxfId="129" priority="132" operator="greaterThan">
      <formula>0</formula>
    </cfRule>
  </conditionalFormatting>
  <conditionalFormatting sqref="I46">
    <cfRule type="cellIs" dxfId="128" priority="130" operator="greaterThan">
      <formula>0</formula>
    </cfRule>
  </conditionalFormatting>
  <conditionalFormatting sqref="I46">
    <cfRule type="cellIs" dxfId="127" priority="128" operator="greaterThan">
      <formula>0</formula>
    </cfRule>
    <cfRule type="cellIs" dxfId="126" priority="129" operator="greaterThan">
      <formula>0</formula>
    </cfRule>
  </conditionalFormatting>
  <conditionalFormatting sqref="I46">
    <cfRule type="cellIs" dxfId="125" priority="127" operator="greaterThan">
      <formula>0</formula>
    </cfRule>
  </conditionalFormatting>
  <conditionalFormatting sqref="I46">
    <cfRule type="cellIs" dxfId="124" priority="126" operator="greaterThan">
      <formula>0</formula>
    </cfRule>
  </conditionalFormatting>
  <conditionalFormatting sqref="I46">
    <cfRule type="cellIs" dxfId="123" priority="124" operator="greaterThan">
      <formula>0</formula>
    </cfRule>
    <cfRule type="cellIs" dxfId="122" priority="125" operator="greaterThan">
      <formula>0</formula>
    </cfRule>
  </conditionalFormatting>
  <conditionalFormatting sqref="I46">
    <cfRule type="cellIs" dxfId="121" priority="123" operator="greaterThan">
      <formula>0</formula>
    </cfRule>
  </conditionalFormatting>
  <conditionalFormatting sqref="I46">
    <cfRule type="cellIs" dxfId="120" priority="122" operator="greaterThan">
      <formula>0</formula>
    </cfRule>
  </conditionalFormatting>
  <conditionalFormatting sqref="I46">
    <cfRule type="cellIs" dxfId="119" priority="120" operator="greaterThan">
      <formula>0</formula>
    </cfRule>
    <cfRule type="cellIs" dxfId="118" priority="121" operator="greaterThan">
      <formula>0</formula>
    </cfRule>
  </conditionalFormatting>
  <conditionalFormatting sqref="I46">
    <cfRule type="cellIs" dxfId="117" priority="119" operator="greaterThan">
      <formula>0</formula>
    </cfRule>
  </conditionalFormatting>
  <conditionalFormatting sqref="I46">
    <cfRule type="cellIs" dxfId="116" priority="117" operator="greaterThan">
      <formula>0</formula>
    </cfRule>
    <cfRule type="cellIs" dxfId="115" priority="118" operator="greaterThan">
      <formula>0</formula>
    </cfRule>
  </conditionalFormatting>
  <conditionalFormatting sqref="I46">
    <cfRule type="cellIs" dxfId="114" priority="116" operator="greaterThan">
      <formula>0</formula>
    </cfRule>
  </conditionalFormatting>
  <conditionalFormatting sqref="I46">
    <cfRule type="cellIs" dxfId="113" priority="115" operator="greaterThan">
      <formula>0</formula>
    </cfRule>
  </conditionalFormatting>
  <conditionalFormatting sqref="I48">
    <cfRule type="cellIs" dxfId="112" priority="113" operator="greaterThan">
      <formula>0</formula>
    </cfRule>
    <cfRule type="cellIs" dxfId="111" priority="114" operator="greaterThan">
      <formula>0</formula>
    </cfRule>
  </conditionalFormatting>
  <conditionalFormatting sqref="I48">
    <cfRule type="cellIs" dxfId="110" priority="112" operator="greaterThan">
      <formula>0</formula>
    </cfRule>
  </conditionalFormatting>
  <conditionalFormatting sqref="I48">
    <cfRule type="cellIs" dxfId="109" priority="110" operator="greaterThan">
      <formula>0</formula>
    </cfRule>
    <cfRule type="cellIs" dxfId="108" priority="111" operator="greaterThan">
      <formula>0</formula>
    </cfRule>
  </conditionalFormatting>
  <conditionalFormatting sqref="I48">
    <cfRule type="cellIs" dxfId="107" priority="109" operator="greaterThan">
      <formula>0</formula>
    </cfRule>
  </conditionalFormatting>
  <conditionalFormatting sqref="I48">
    <cfRule type="cellIs" dxfId="106" priority="107" operator="greaterThan">
      <formula>0</formula>
    </cfRule>
    <cfRule type="cellIs" dxfId="105" priority="108" operator="greaterThan">
      <formula>0</formula>
    </cfRule>
  </conditionalFormatting>
  <conditionalFormatting sqref="I48">
    <cfRule type="cellIs" dxfId="104" priority="106" operator="greaterThan">
      <formula>0</formula>
    </cfRule>
  </conditionalFormatting>
  <conditionalFormatting sqref="I48">
    <cfRule type="cellIs" dxfId="103" priority="104" operator="greaterThan">
      <formula>0</formula>
    </cfRule>
    <cfRule type="cellIs" dxfId="102" priority="105" operator="greaterThan">
      <formula>0</formula>
    </cfRule>
  </conditionalFormatting>
  <conditionalFormatting sqref="I48">
    <cfRule type="cellIs" dxfId="101" priority="103" operator="greaterThan">
      <formula>0</formula>
    </cfRule>
  </conditionalFormatting>
  <conditionalFormatting sqref="I48">
    <cfRule type="cellIs" dxfId="100" priority="101" operator="greaterThan">
      <formula>0</formula>
    </cfRule>
    <cfRule type="cellIs" dxfId="99" priority="102" operator="greaterThan">
      <formula>0</formula>
    </cfRule>
  </conditionalFormatting>
  <conditionalFormatting sqref="I48">
    <cfRule type="cellIs" dxfId="98" priority="100" operator="greaterThan">
      <formula>0</formula>
    </cfRule>
  </conditionalFormatting>
  <conditionalFormatting sqref="I48">
    <cfRule type="cellIs" dxfId="97" priority="98" operator="greaterThan">
      <formula>0</formula>
    </cfRule>
    <cfRule type="cellIs" dxfId="96" priority="99" operator="greaterThan">
      <formula>0</formula>
    </cfRule>
  </conditionalFormatting>
  <conditionalFormatting sqref="I48">
    <cfRule type="cellIs" dxfId="95" priority="97" operator="greaterThan">
      <formula>0</formula>
    </cfRule>
  </conditionalFormatting>
  <conditionalFormatting sqref="I48">
    <cfRule type="cellIs" dxfId="94" priority="95" operator="greaterThan">
      <formula>0</formula>
    </cfRule>
    <cfRule type="cellIs" dxfId="93" priority="96" operator="greaterThan">
      <formula>0</formula>
    </cfRule>
  </conditionalFormatting>
  <conditionalFormatting sqref="I48">
    <cfRule type="cellIs" dxfId="92" priority="94" operator="greaterThan">
      <formula>0</formula>
    </cfRule>
  </conditionalFormatting>
  <conditionalFormatting sqref="I48">
    <cfRule type="cellIs" dxfId="91" priority="93" operator="greaterThan">
      <formula>0</formula>
    </cfRule>
  </conditionalFormatting>
  <conditionalFormatting sqref="I48">
    <cfRule type="cellIs" dxfId="90" priority="91" operator="greaterThan">
      <formula>0</formula>
    </cfRule>
    <cfRule type="cellIs" dxfId="89" priority="92" operator="greaterThan">
      <formula>0</formula>
    </cfRule>
  </conditionalFormatting>
  <conditionalFormatting sqref="I48">
    <cfRule type="cellIs" dxfId="88" priority="90" operator="greaterThan">
      <formula>0</formula>
    </cfRule>
  </conditionalFormatting>
  <conditionalFormatting sqref="I48">
    <cfRule type="cellIs" dxfId="87" priority="89" operator="greaterThan">
      <formula>0</formula>
    </cfRule>
  </conditionalFormatting>
  <conditionalFormatting sqref="I48">
    <cfRule type="cellIs" dxfId="86" priority="87" operator="greaterThan">
      <formula>0</formula>
    </cfRule>
    <cfRule type="cellIs" dxfId="85" priority="88" operator="greaterThan">
      <formula>0</formula>
    </cfRule>
  </conditionalFormatting>
  <conditionalFormatting sqref="I48">
    <cfRule type="cellIs" dxfId="84" priority="86" operator="greaterThan">
      <formula>0</formula>
    </cfRule>
  </conditionalFormatting>
  <conditionalFormatting sqref="I48">
    <cfRule type="cellIs" dxfId="83" priority="84" operator="greaterThan">
      <formula>0</formula>
    </cfRule>
    <cfRule type="cellIs" dxfId="82" priority="85" operator="greaterThan">
      <formula>0</formula>
    </cfRule>
  </conditionalFormatting>
  <conditionalFormatting sqref="I48">
    <cfRule type="cellIs" dxfId="81" priority="83" operator="greaterThan">
      <formula>0</formula>
    </cfRule>
  </conditionalFormatting>
  <conditionalFormatting sqref="I48">
    <cfRule type="cellIs" dxfId="80" priority="82" operator="greaterThan">
      <formula>0</formula>
    </cfRule>
  </conditionalFormatting>
  <conditionalFormatting sqref="M29">
    <cfRule type="cellIs" dxfId="79" priority="81" operator="greaterThan">
      <formula>0</formula>
    </cfRule>
  </conditionalFormatting>
  <conditionalFormatting sqref="M29">
    <cfRule type="cellIs" dxfId="78" priority="80" operator="greaterThan">
      <formula>0</formula>
    </cfRule>
  </conditionalFormatting>
  <conditionalFormatting sqref="M29">
    <cfRule type="cellIs" dxfId="77" priority="78" operator="greaterThan">
      <formula>0</formula>
    </cfRule>
    <cfRule type="cellIs" dxfId="76" priority="79" operator="greaterThan">
      <formula>0</formula>
    </cfRule>
  </conditionalFormatting>
  <conditionalFormatting sqref="M29">
    <cfRule type="cellIs" dxfId="75" priority="77" operator="greaterThan">
      <formula>0</formula>
    </cfRule>
  </conditionalFormatting>
  <conditionalFormatting sqref="M29">
    <cfRule type="cellIs" dxfId="74" priority="76" operator="greaterThan">
      <formula>0</formula>
    </cfRule>
  </conditionalFormatting>
  <conditionalFormatting sqref="M29">
    <cfRule type="cellIs" dxfId="73" priority="74" operator="greaterThan">
      <formula>0</formula>
    </cfRule>
    <cfRule type="cellIs" dxfId="72" priority="75" operator="greaterThan">
      <formula>0</formula>
    </cfRule>
  </conditionalFormatting>
  <conditionalFormatting sqref="M29">
    <cfRule type="cellIs" dxfId="71" priority="73" operator="greaterThan">
      <formula>0</formula>
    </cfRule>
  </conditionalFormatting>
  <conditionalFormatting sqref="M29">
    <cfRule type="cellIs" dxfId="70" priority="71" operator="greaterThan">
      <formula>0</formula>
    </cfRule>
    <cfRule type="cellIs" dxfId="69" priority="72" operator="greaterThan">
      <formula>0</formula>
    </cfRule>
  </conditionalFormatting>
  <conditionalFormatting sqref="M29">
    <cfRule type="cellIs" dxfId="68" priority="70" operator="greaterThan">
      <formula>0</formula>
    </cfRule>
  </conditionalFormatting>
  <conditionalFormatting sqref="M29">
    <cfRule type="cellIs" dxfId="67" priority="69" operator="greaterThan">
      <formula>0</formula>
    </cfRule>
  </conditionalFormatting>
  <conditionalFormatting sqref="K29">
    <cfRule type="cellIs" dxfId="66" priority="68" operator="greaterThan">
      <formula>0</formula>
    </cfRule>
  </conditionalFormatting>
  <conditionalFormatting sqref="K29">
    <cfRule type="cellIs" dxfId="65" priority="67" operator="greaterThan">
      <formula>0</formula>
    </cfRule>
  </conditionalFormatting>
  <conditionalFormatting sqref="K29">
    <cfRule type="cellIs" dxfId="64" priority="65" operator="greaterThan">
      <formula>0</formula>
    </cfRule>
    <cfRule type="cellIs" dxfId="63" priority="66" operator="greaterThan">
      <formula>0</formula>
    </cfRule>
  </conditionalFormatting>
  <conditionalFormatting sqref="K29">
    <cfRule type="cellIs" dxfId="62" priority="64" operator="greaterThan">
      <formula>0</formula>
    </cfRule>
  </conditionalFormatting>
  <conditionalFormatting sqref="K29">
    <cfRule type="cellIs" dxfId="61" priority="63" operator="greaterThan">
      <formula>0</formula>
    </cfRule>
  </conditionalFormatting>
  <conditionalFormatting sqref="K29">
    <cfRule type="cellIs" dxfId="60" priority="61" operator="greaterThan">
      <formula>0</formula>
    </cfRule>
    <cfRule type="cellIs" dxfId="59" priority="62" operator="greaterThan">
      <formula>0</formula>
    </cfRule>
  </conditionalFormatting>
  <conditionalFormatting sqref="K29">
    <cfRule type="cellIs" dxfId="58" priority="60" operator="greaterThan">
      <formula>0</formula>
    </cfRule>
  </conditionalFormatting>
  <conditionalFormatting sqref="K29">
    <cfRule type="cellIs" dxfId="57" priority="58" operator="greaterThan">
      <formula>0</formula>
    </cfRule>
    <cfRule type="cellIs" dxfId="56" priority="59" operator="greaterThan">
      <formula>0</formula>
    </cfRule>
  </conditionalFormatting>
  <conditionalFormatting sqref="K29">
    <cfRule type="cellIs" dxfId="55" priority="57" operator="greaterThan">
      <formula>0</formula>
    </cfRule>
  </conditionalFormatting>
  <conditionalFormatting sqref="K29">
    <cfRule type="cellIs" dxfId="54" priority="56" operator="greaterThan">
      <formula>0</formula>
    </cfRule>
  </conditionalFormatting>
  <conditionalFormatting sqref="J29">
    <cfRule type="cellIs" dxfId="53" priority="55" operator="greaterThan">
      <formula>0</formula>
    </cfRule>
  </conditionalFormatting>
  <conditionalFormatting sqref="J29">
    <cfRule type="cellIs" dxfId="52" priority="54" operator="greaterThan">
      <formula>0</formula>
    </cfRule>
  </conditionalFormatting>
  <conditionalFormatting sqref="J29">
    <cfRule type="cellIs" dxfId="51" priority="52" operator="greaterThan">
      <formula>0</formula>
    </cfRule>
    <cfRule type="cellIs" dxfId="50" priority="53" operator="greaterThan">
      <formula>0</formula>
    </cfRule>
  </conditionalFormatting>
  <conditionalFormatting sqref="J29">
    <cfRule type="cellIs" dxfId="49" priority="51" operator="greaterThan">
      <formula>0</formula>
    </cfRule>
  </conditionalFormatting>
  <conditionalFormatting sqref="J29">
    <cfRule type="cellIs" dxfId="48" priority="50" operator="greaterThan">
      <formula>0</formula>
    </cfRule>
  </conditionalFormatting>
  <conditionalFormatting sqref="J29">
    <cfRule type="cellIs" dxfId="47" priority="48" operator="greaterThan">
      <formula>0</formula>
    </cfRule>
    <cfRule type="cellIs" dxfId="46" priority="49" operator="greaterThan">
      <formula>0</formula>
    </cfRule>
  </conditionalFormatting>
  <conditionalFormatting sqref="J29">
    <cfRule type="cellIs" dxfId="45" priority="47" operator="greaterThan">
      <formula>0</formula>
    </cfRule>
  </conditionalFormatting>
  <conditionalFormatting sqref="J29">
    <cfRule type="cellIs" dxfId="44" priority="45" operator="greaterThan">
      <formula>0</formula>
    </cfRule>
    <cfRule type="cellIs" dxfId="43" priority="46" operator="greaterThan">
      <formula>0</formula>
    </cfRule>
  </conditionalFormatting>
  <conditionalFormatting sqref="J29">
    <cfRule type="cellIs" dxfId="42" priority="44" operator="greaterThan">
      <formula>0</formula>
    </cfRule>
  </conditionalFormatting>
  <conditionalFormatting sqref="J29">
    <cfRule type="cellIs" dxfId="41" priority="43" operator="greaterThan">
      <formula>0</formula>
    </cfRule>
  </conditionalFormatting>
  <conditionalFormatting sqref="I29">
    <cfRule type="cellIs" dxfId="40" priority="42" operator="greaterThan">
      <formula>0</formula>
    </cfRule>
  </conditionalFormatting>
  <conditionalFormatting sqref="I29">
    <cfRule type="cellIs" dxfId="39" priority="41" operator="greaterThan">
      <formula>0</formula>
    </cfRule>
  </conditionalFormatting>
  <conditionalFormatting sqref="I29">
    <cfRule type="cellIs" dxfId="38" priority="39" operator="greaterThan">
      <formula>0</formula>
    </cfRule>
    <cfRule type="cellIs" dxfId="37" priority="40" operator="greaterThan">
      <formula>0</formula>
    </cfRule>
  </conditionalFormatting>
  <conditionalFormatting sqref="I29">
    <cfRule type="cellIs" dxfId="36" priority="38" operator="greaterThan">
      <formula>0</formula>
    </cfRule>
  </conditionalFormatting>
  <conditionalFormatting sqref="I29">
    <cfRule type="cellIs" dxfId="35" priority="37" operator="greaterThan">
      <formula>0</formula>
    </cfRule>
  </conditionalFormatting>
  <conditionalFormatting sqref="I29">
    <cfRule type="cellIs" dxfId="34" priority="35" operator="greaterThan">
      <formula>0</formula>
    </cfRule>
    <cfRule type="cellIs" dxfId="33" priority="36" operator="greaterThan">
      <formula>0</formula>
    </cfRule>
  </conditionalFormatting>
  <conditionalFormatting sqref="I29">
    <cfRule type="cellIs" dxfId="32" priority="34" operator="greaterThan">
      <formula>0</formula>
    </cfRule>
  </conditionalFormatting>
  <conditionalFormatting sqref="I29">
    <cfRule type="cellIs" dxfId="31" priority="32" operator="greaterThan">
      <formula>0</formula>
    </cfRule>
    <cfRule type="cellIs" dxfId="30" priority="33" operator="greaterThan">
      <formula>0</formula>
    </cfRule>
  </conditionalFormatting>
  <conditionalFormatting sqref="I29">
    <cfRule type="cellIs" dxfId="29" priority="31" operator="greaterThan">
      <formula>0</formula>
    </cfRule>
  </conditionalFormatting>
  <conditionalFormatting sqref="I29">
    <cfRule type="cellIs" dxfId="28" priority="30" operator="greaterThan">
      <formula>0</formula>
    </cfRule>
  </conditionalFormatting>
  <conditionalFormatting sqref="D10">
    <cfRule type="cellIs" dxfId="27" priority="28" operator="greaterThan">
      <formula>0</formula>
    </cfRule>
  </conditionalFormatting>
  <conditionalFormatting sqref="D12">
    <cfRule type="cellIs" dxfId="26" priority="26" operator="greaterThan">
      <formula>0</formula>
    </cfRule>
    <cfRule type="cellIs" dxfId="25" priority="27" operator="greaterThan">
      <formula>0</formula>
    </cfRule>
  </conditionalFormatting>
  <conditionalFormatting sqref="D12">
    <cfRule type="cellIs" dxfId="24" priority="25" operator="greaterThan">
      <formula>0</formula>
    </cfRule>
  </conditionalFormatting>
  <conditionalFormatting sqref="V30">
    <cfRule type="cellIs" dxfId="23" priority="22" operator="greaterThan">
      <formula>0</formula>
    </cfRule>
    <cfRule type="cellIs" dxfId="22" priority="23" operator="greaterThan">
      <formula>0</formula>
    </cfRule>
    <cfRule type="cellIs" dxfId="21" priority="24" operator="greaterThan">
      <formula>" € - "</formula>
    </cfRule>
  </conditionalFormatting>
  <conditionalFormatting sqref="V30">
    <cfRule type="cellIs" dxfId="20" priority="20" operator="greaterThan">
      <formula>0</formula>
    </cfRule>
    <cfRule type="cellIs" dxfId="19" priority="21" operator="greaterThan">
      <formula>" € - "</formula>
    </cfRule>
  </conditionalFormatting>
  <conditionalFormatting sqref="V30">
    <cfRule type="cellIs" dxfId="18" priority="15" operator="greaterThan">
      <formula>0</formula>
    </cfRule>
    <cfRule type="cellIs" dxfId="17" priority="16" operator="greaterThan">
      <formula>0</formula>
    </cfRule>
    <cfRule type="cellIs" dxfId="16" priority="17" operator="greaterThan">
      <formula>0</formula>
    </cfRule>
    <cfRule type="cellIs" dxfId="15" priority="18" operator="greaterThan">
      <formula>0</formula>
    </cfRule>
    <cfRule type="cellIs" dxfId="14" priority="19" operator="greaterThan">
      <formula>0</formula>
    </cfRule>
  </conditionalFormatting>
  <conditionalFormatting sqref="V30">
    <cfRule type="cellIs" dxfId="13" priority="14" operator="greaterThan">
      <formula>0</formula>
    </cfRule>
  </conditionalFormatting>
  <conditionalFormatting sqref="J29">
    <cfRule type="cellIs" dxfId="12" priority="13" operator="greaterThan">
      <formula>0</formula>
    </cfRule>
  </conditionalFormatting>
  <conditionalFormatting sqref="J29">
    <cfRule type="cellIs" dxfId="11" priority="12" operator="greaterThan">
      <formula>0</formula>
    </cfRule>
  </conditionalFormatting>
  <conditionalFormatting sqref="J29">
    <cfRule type="cellIs" dxfId="10" priority="10" operator="greaterThan">
      <formula>0</formula>
    </cfRule>
    <cfRule type="cellIs" dxfId="9" priority="11" operator="greaterThan">
      <formula>0</formula>
    </cfRule>
  </conditionalFormatting>
  <conditionalFormatting sqref="J29">
    <cfRule type="cellIs" dxfId="8" priority="9" operator="greaterThan">
      <formula>0</formula>
    </cfRule>
  </conditionalFormatting>
  <conditionalFormatting sqref="J29">
    <cfRule type="cellIs" dxfId="7" priority="8" operator="greaterThan">
      <formula>0</formula>
    </cfRule>
  </conditionalFormatting>
  <conditionalFormatting sqref="J29">
    <cfRule type="cellIs" dxfId="6" priority="6" operator="greaterThan">
      <formula>0</formula>
    </cfRule>
    <cfRule type="cellIs" dxfId="5" priority="7" operator="greaterThan">
      <formula>0</formula>
    </cfRule>
  </conditionalFormatting>
  <conditionalFormatting sqref="J29">
    <cfRule type="cellIs" dxfId="4" priority="5" operator="greaterThan">
      <formula>0</formula>
    </cfRule>
  </conditionalFormatting>
  <conditionalFormatting sqref="J29">
    <cfRule type="cellIs" dxfId="3" priority="3" operator="greaterThan">
      <formula>0</formula>
    </cfRule>
    <cfRule type="cellIs" dxfId="2" priority="4" operator="greaterThan">
      <formula>0</formula>
    </cfRule>
  </conditionalFormatting>
  <conditionalFormatting sqref="J29">
    <cfRule type="cellIs" dxfId="1" priority="2" operator="greaterThan">
      <formula>0</formula>
    </cfRule>
  </conditionalFormatting>
  <conditionalFormatting sqref="J29">
    <cfRule type="cellIs" dxfId="0" priority="1" operator="greaterThan">
      <formula>0</formula>
    </cfRule>
  </conditionalFormatting>
  <dataValidations xWindow="719" yWindow="346" count="22">
    <dataValidation type="whole" operator="lessThanOrEqual" allowBlank="1" showInputMessage="1" showErrorMessage="1" errorTitle="Fout teken" error="U hebt een positief bedrag ingevuld" promptTitle="Omvang investeringen" prompt="Voer een negatief bedrag in voor de investeringen in (im-)materiele activa van het begrotingsjaar 2015. " sqref="C6">
      <formula1>0</formula1>
    </dataValidation>
    <dataValidation type="whole" operator="greaterThanOrEqual" allowBlank="1" showInputMessage="1" showErrorMessage="1" promptTitle="Verkoop (im-)materiele activa" prompt="Voor een positief bedrag in voor de bruto verkoopopbrengst uit de verkoop van (im-)materiele activa in het begrotingsjaar 2015. _x000a_Vul daarna de boekwinst of het boekverlies in op het blad Balansprognose." sqref="C7">
      <formula1>0</formula1>
    </dataValidation>
    <dataValidation allowBlank="1" showInputMessage="1" showErrorMessage="1" promptTitle="Mutatie overige voorraden" prompt="Voer het bedrag in waarmee de overige voorraden in 2015 toenemen (negatief bedrag) of afnemen (positief bedrag) " sqref="E6"/>
    <dataValidation type="whole" operator="lessThanOrEqual" allowBlank="1" showInputMessage="1" showErrorMessage="1" errorTitle="Fout teken" error="U hebt een positief bedrag ingevuld." promptTitle="Omvang investeringsbijdragen" prompt="Voer het bedrag (negatief) in voor de nieuwe bijdragen aan investeringen in activa derden in het begrotingsjaar 2015.  " sqref="F6">
      <formula1>0</formula1>
    </dataValidation>
    <dataValidation type="whole" operator="lessThanOrEqual" allowBlank="1" showInputMessage="1" showErrorMessage="1" errorTitle="Fout teken" error="U hebt een positief bedrag ingevuld" promptTitle="Nieuwe kapitaalverstrekkingen" prompt="Voer het bedrag (negatief) in voor de nieuwe kapitaalverstrekkingen aan verbonden partijen en aan derden in het begrotingsjaar 2015." sqref="G6">
      <formula1>0</formula1>
    </dataValidation>
    <dataValidation type="whole" operator="greaterThanOrEqual" allowBlank="1" showInputMessage="1" showErrorMessage="1" errorTitle="Fout teken" error="U hebt een negatief bedrag ingevuld. Een boekverlies vult u in op het blad Balansprognose " promptTitle="Verkoop deelnemingen" prompt="Voer het bedrag (positief) in voor de bruto opbrengst uit de verkoop of liquidatie van deelnemingen in het begrotingsjaar 2015. Vul er na de boekwinst of het boekverlies in op het blad Balansprognose. " sqref="G7">
      <formula1>0</formula1>
    </dataValidation>
    <dataValidation type="whole" operator="lessThanOrEqual" allowBlank="1" showInputMessage="1" showErrorMessage="1" errorTitle="Fout teken" error="U hebt een positief bedrag ingevuld " promptTitle="Investeringen bouwgrond" prompt="Voer het bedrag (negatief) in voor de bruto investeringen in aankoop bouwgrond en onderhanden werk. Pas er na op het blad Balansprognose de voorraad bouwgrond en onderhanden werk aan voor bepaling eindbalans en kostprijs verkopen._x000a_ " sqref="D6">
      <formula1>0</formula1>
    </dataValidation>
    <dataValidation type="whole" operator="greaterThanOrEqual" allowBlank="1" showInputMessage="1" showErrorMessage="1" errorTitle="Fout teken" error="U hebt een negatiefg bedrag ingevuld" promptTitle="Opbrengst bouwgrondexploitatie " prompt="Voer het bedrag (positief) in voor de bruto verkoopopbrengst uit de bouwgrondexploitatie in het begrotingsjaar 2015. " sqref="D7">
      <formula1>0</formula1>
    </dataValidation>
    <dataValidation type="whole" operator="greaterThanOrEqual" allowBlank="1" showInputMessage="1" showErrorMessage="1" errorTitle="Foutieve invoer" error="U hebt een negatief bedrag ingevuld." promptTitle="Aflossing uitgezette leningen  " prompt="Vul het bedrag (positief) in aan aflossingen in 2015 op verstrekte leningen aan verbonden partijen. Nieuwe leningen aan verbonden partijen in 2015 moet u op het blad Balansprognose invullen." sqref="C30">
      <formula1>0</formula1>
    </dataValidation>
    <dataValidation type="whole" operator="greaterThanOrEqual" allowBlank="1" showInputMessage="1" showErrorMessage="1" errorTitle="Foutieve invoer" error="U hebt een negatief bedrag ingevuld." promptTitle="Aflossing uitgezette leningen" prompt="Vul het bedrag (positief) in aan aflossingen in 2015 op leningen aan derden. Nieuwe leningen aan derden in 2015 moet u op het blad Balansprognose invullen." sqref="D30">
      <formula1>0</formula1>
    </dataValidation>
    <dataValidation type="whole" operator="greaterThanOrEqual" allowBlank="1" showInputMessage="1" showErrorMessage="1" errorTitle="Foutieve invoer" error="U hebt een negatief bedrag ingevuld." promptTitle="Vrijval langlopende uitzettingen" prompt="Vul het bedrag (positief) in aan langlopende uitzettingen dat in 2015 vrijvalt.  Nieuwe langlopende uitzettingen in 2015 moet u op het blad Balansprognose invullen." sqref="E30">
      <formula1>0</formula1>
    </dataValidation>
    <dataValidation allowBlank="1" showInputMessage="1" showErrorMessage="1" promptTitle="Mutatie kortlopende vorderingen" prompt="Vul het bedrag in van de mutatie Kort lopende vorderingen voor het bepalen van de eindbalans 2015. Bij toename positief bedrag invullen. Bij afname negatief bedrag invullen. Bij geen idee kan dit veld leeg worden gelaten." sqref="F30"/>
    <dataValidation allowBlank="1" showInputMessage="1" showErrorMessage="1" promptTitle="Mutatie liquide middelen " prompt="Vul het bedrag in van de mutatie Liquide middelen &amp; uitzettingen kort voor het bepalen van de eindbalans 2015. Bij toename positief bedrag invullen. Bij afname negatief bedrag invullen. Bij geen idee kan dit veld leeg worden gelaten. " sqref="G30"/>
    <dataValidation allowBlank="1" showInputMessage="1" showErrorMessage="1" promptTitle="Mutatie overlopende activa" prompt="Vul het bedrag in van de mutatie Overlopende activa voor het bepalen van de eindbalans 2015. Bij toename positief bedrag invullen. Bij afname negatief bedrag invullen. Bij geen idee kan dit veld leeg worden gelaten._x000a__x000a_" sqref="H30"/>
    <dataValidation allowBlank="1" showInputMessage="1" showErrorMessage="1" promptTitle="Mutatie kortlopende schulden" prompt="Vul het bedrag in van de mutatie kortlopende schulden voor het bepalen van de stand eindbalans 2015. Bij toename positief bedrag invullen. Bij afname negatief bedrag invullen. Bij geen idee kan dit veld leeg worden gelaten." sqref="K30"/>
    <dataValidation allowBlank="1" showInputMessage="1" showErrorMessage="1" promptTitle="Mutatie crediteuren" prompt="Vul het bedrag in van de mutatie crediteuren voor het bepalen van de stand eindbalans 2015. Bij toename positief bedrag invullen. Bij afname negatief bedrag invullen. Bij geen idee kan dit veld leeg worden gelaten.  " sqref="L30"/>
    <dataValidation allowBlank="1" showInputMessage="1" showErrorMessage="1" promptTitle="Mutatie overlopende passiva" prompt="Vul het bedrag in van de mutatie overlopende passiva voor het bepalen van de stand eindbalans 2015. Bij toename positief bedrag invullen. Bij afname negatief bedrag invullen. Bij geen idee kan dit veld leeg worden gelaten. " sqref="M30"/>
    <dataValidation allowBlank="1" showInputMessage="1" showErrorMessage="1" promptTitle="Rente leningen verb. partijen" prompt="Rentepercentage is een schatting van het gemiddelde percentage voor de rente op verstrekte leningen aan verbonden partijen. Vervang het percentage bij afwijking van het werkelijke rentepercentage van de te ontvangen rente." sqref="C31"/>
    <dataValidation allowBlank="1" showInputMessage="1" showErrorMessage="1" promptTitle="Rente leningen derden" prompt="Rentepercentage is een schatting van het gemiddelde percentage voor de rente op versterkte leningen aan derden. Vervang het percentage bij afwijking van het werkelijke rentepercentage van de te ontvangen rente.     " sqref="D31"/>
    <dataValidation allowBlank="1" showInputMessage="1" showErrorMessage="1" promptTitle="Rente langlopende uitzettingen" prompt="Rentepercentage is een schatting van het  gemiddelde percentage van de rente op langlopende uitzettingen. Vervang het percentage bij afwijking van het werkelijke rentepercentage voor de te ontvangen rente." sqref="E31"/>
    <dataValidation allowBlank="1" showInputMessage="1" showErrorMessage="1" promptTitle="Rente onderhandse leningen" prompt="Rentepercentage is een schatting voor het gemiddelde percentage aan te betalen rente op onderhandse leningen. Vervang het percentage bij afwijking van het werkelijke rentepercentage voor de te betalen rente. " sqref="I31"/>
    <dataValidation allowBlank="1" showInputMessage="1" showErrorMessage="1" promptTitle="Rente overige vaste schuld" prompt="Rentepercentage is een schatting voor het gemiddelde percentage voor de te betalen rente op de Overige vaste schuld. Vervang het percentage bij afwijking van het werkelijke rentepercentage voor de te betalen rente.  " sqref="J31"/>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4"/>
  <sheetViews>
    <sheetView showGridLines="0" showRowColHeaders="0" zoomScale="80" zoomScaleNormal="80" workbookViewId="0">
      <selection activeCell="C3" sqref="C3"/>
    </sheetView>
  </sheetViews>
  <sheetFormatPr defaultColWidth="9.140625" defaultRowHeight="12.75" x14ac:dyDescent="0.2"/>
  <cols>
    <col min="1" max="1" width="3" style="3" customWidth="1"/>
    <col min="2" max="2" width="96.7109375" style="3" bestFit="1" customWidth="1"/>
    <col min="3" max="3" width="17.85546875" style="3" bestFit="1" customWidth="1"/>
    <col min="4" max="4" width="9.140625" style="3" customWidth="1"/>
    <col min="5" max="5" width="3.42578125" style="3" customWidth="1"/>
    <col min="6" max="6" width="82.7109375" style="3" customWidth="1"/>
    <col min="7" max="7" width="18.28515625" style="3" customWidth="1"/>
    <col min="8" max="8" width="18.7109375" style="3" hidden="1" customWidth="1"/>
    <col min="9" max="9" width="27.5703125" style="3" hidden="1" customWidth="1"/>
    <col min="10" max="10" width="18.7109375" style="3" hidden="1" customWidth="1"/>
    <col min="11" max="11" width="26.42578125" style="3" hidden="1" customWidth="1"/>
    <col min="12" max="12" width="33.85546875" style="3" hidden="1" customWidth="1"/>
    <col min="13" max="15" width="18.7109375" style="3" hidden="1" customWidth="1"/>
    <col min="16" max="26" width="9.140625" style="3" customWidth="1"/>
    <col min="27" max="16384" width="9.140625" style="3"/>
  </cols>
  <sheetData>
    <row r="1" spans="1:14" x14ac:dyDescent="0.2">
      <c r="A1" s="257" t="s">
        <v>148</v>
      </c>
      <c r="B1" s="257"/>
      <c r="C1" s="1">
        <f>Macrogegevens!C1</f>
        <v>2015</v>
      </c>
      <c r="D1" s="1"/>
      <c r="E1" s="1" t="s">
        <v>149</v>
      </c>
      <c r="F1" s="1"/>
      <c r="G1" s="1">
        <f>Macrogegevens!C1</f>
        <v>2015</v>
      </c>
      <c r="H1" s="2"/>
      <c r="I1" s="2" t="s">
        <v>0</v>
      </c>
      <c r="L1" s="2" t="s">
        <v>34</v>
      </c>
    </row>
    <row r="2" spans="1:14" x14ac:dyDescent="0.2">
      <c r="A2" s="1" t="s">
        <v>5</v>
      </c>
      <c r="B2" s="1" t="s">
        <v>162</v>
      </c>
      <c r="C2" s="4">
        <f>SUM(1,J10,J3,SUM(-J5,J6)*J11)</f>
        <v>1.0187819791854658</v>
      </c>
      <c r="D2" s="5"/>
      <c r="E2" s="1" t="s">
        <v>5</v>
      </c>
      <c r="F2" s="1" t="s">
        <v>158</v>
      </c>
      <c r="G2" s="6">
        <f>SUM(1,J4,J6)</f>
        <v>1.0136699653091099</v>
      </c>
      <c r="I2" s="3" t="s">
        <v>1</v>
      </c>
      <c r="J2" s="21">
        <f>Macrogegevens!C4</f>
        <v>0.01</v>
      </c>
      <c r="L2" s="3" t="s">
        <v>730</v>
      </c>
      <c r="M2" s="21">
        <f>Macrogegevens!G4</f>
        <v>5.5E-2</v>
      </c>
      <c r="N2" s="21">
        <f>SUM(1,-M2)</f>
        <v>0.94499999999999995</v>
      </c>
    </row>
    <row r="3" spans="1:14" x14ac:dyDescent="0.2">
      <c r="A3" s="5">
        <v>1</v>
      </c>
      <c r="B3" s="5" t="s">
        <v>97</v>
      </c>
      <c r="C3" s="13">
        <f>VLOOKUP(Macrogegevens!C2,'Data inkomsten'!A2:N395,2,0)</f>
        <v>14820654.955137243</v>
      </c>
      <c r="D3" s="5"/>
      <c r="E3" s="5">
        <v>1</v>
      </c>
      <c r="F3" s="5" t="s">
        <v>117</v>
      </c>
      <c r="G3" s="13">
        <v>0</v>
      </c>
      <c r="I3" s="3" t="s">
        <v>2</v>
      </c>
      <c r="J3" s="8">
        <f>Macrogegevens!C6</f>
        <v>1.4999999999999999E-2</v>
      </c>
      <c r="L3" s="3" t="s">
        <v>731</v>
      </c>
      <c r="M3" s="21">
        <f>Macrogegevens!G3</f>
        <v>5.5E-2</v>
      </c>
      <c r="N3" s="21">
        <f>SUM(1,-M3)</f>
        <v>0.94499999999999995</v>
      </c>
    </row>
    <row r="4" spans="1:14" x14ac:dyDescent="0.2">
      <c r="A4" s="5">
        <v>2</v>
      </c>
      <c r="B4" s="12"/>
      <c r="C4" s="13">
        <v>0</v>
      </c>
      <c r="D4" s="5"/>
      <c r="E4" s="5">
        <v>2</v>
      </c>
      <c r="F4" s="5" t="s">
        <v>118</v>
      </c>
      <c r="G4" s="13">
        <v>0</v>
      </c>
      <c r="I4" s="3" t="s">
        <v>3</v>
      </c>
      <c r="J4" s="21">
        <f>Macrogegevens!C7</f>
        <v>1.7500000000000002E-2</v>
      </c>
      <c r="M4" s="21"/>
      <c r="N4" s="21"/>
    </row>
    <row r="5" spans="1:14" x14ac:dyDescent="0.2">
      <c r="A5" s="5"/>
      <c r="B5" s="5"/>
      <c r="C5" s="4"/>
      <c r="D5" s="5"/>
      <c r="E5" s="5">
        <v>3</v>
      </c>
      <c r="F5" s="37" t="s">
        <v>102</v>
      </c>
      <c r="G5" s="94">
        <v>0</v>
      </c>
      <c r="I5" s="3" t="s">
        <v>87</v>
      </c>
      <c r="J5" s="8">
        <f>Macrogegevens!C8</f>
        <v>3.2000000000000002E-3</v>
      </c>
      <c r="L5" s="3" t="s">
        <v>732</v>
      </c>
      <c r="M5" s="21">
        <f>Macrogegevens!G6</f>
        <v>1.4999999999999999E-2</v>
      </c>
      <c r="N5" s="21">
        <f>SUM(1,M5)</f>
        <v>1.0149999999999999</v>
      </c>
    </row>
    <row r="6" spans="1:14" x14ac:dyDescent="0.2">
      <c r="A6" s="5"/>
      <c r="B6" s="5" t="s">
        <v>8</v>
      </c>
      <c r="C6" s="9">
        <f>SUM(C3:C4)</f>
        <v>14820654.955137243</v>
      </c>
      <c r="D6" s="5"/>
      <c r="E6" s="5">
        <v>4</v>
      </c>
      <c r="F6" s="37" t="s">
        <v>103</v>
      </c>
      <c r="G6" s="41">
        <v>0</v>
      </c>
      <c r="I6" s="3" t="s">
        <v>88</v>
      </c>
      <c r="J6" s="8">
        <f>Macrogegevens!C9</f>
        <v>-3.830034690890132E-3</v>
      </c>
      <c r="L6" s="3" t="s">
        <v>733</v>
      </c>
      <c r="M6" s="21">
        <f>Macrogegevens!G5</f>
        <v>1.4999999999999999E-2</v>
      </c>
      <c r="N6" s="21">
        <f>SUM(1,M6)</f>
        <v>1.0149999999999999</v>
      </c>
    </row>
    <row r="7" spans="1:14" x14ac:dyDescent="0.2">
      <c r="A7" s="5"/>
      <c r="B7" s="5"/>
      <c r="C7" s="5"/>
      <c r="D7" s="5"/>
      <c r="E7" s="5">
        <v>5</v>
      </c>
      <c r="F7" s="37" t="s">
        <v>104</v>
      </c>
      <c r="G7" s="41">
        <v>0</v>
      </c>
      <c r="I7" s="3" t="s">
        <v>29</v>
      </c>
      <c r="J7" s="21">
        <f>Macrogegevens!$C$14</f>
        <v>0.01</v>
      </c>
      <c r="M7" s="21"/>
      <c r="N7" s="7"/>
    </row>
    <row r="8" spans="1:14" x14ac:dyDescent="0.2">
      <c r="A8" s="1" t="s">
        <v>6</v>
      </c>
      <c r="B8" s="1" t="s">
        <v>124</v>
      </c>
      <c r="C8" s="4">
        <f>SUM(1,J2,J6)</f>
        <v>1.0061699653091098</v>
      </c>
      <c r="D8" s="5"/>
      <c r="E8" s="5">
        <v>6</v>
      </c>
      <c r="F8" s="5" t="s">
        <v>792</v>
      </c>
      <c r="G8" s="13">
        <v>0</v>
      </c>
      <c r="I8" s="16" t="s">
        <v>94</v>
      </c>
      <c r="J8" s="8">
        <f>Macrogegevens!$C$15</f>
        <v>2.3599999999999999E-2</v>
      </c>
      <c r="L8" s="3" t="s">
        <v>66</v>
      </c>
      <c r="M8" s="21">
        <f>Macrogegevens!G17</f>
        <v>0</v>
      </c>
    </row>
    <row r="9" spans="1:14" x14ac:dyDescent="0.2">
      <c r="A9" s="5">
        <v>3</v>
      </c>
      <c r="B9" s="5" t="s">
        <v>98</v>
      </c>
      <c r="C9" s="13">
        <f>VLOOKUP(Macrogegevens!C2,'Data macrogegevens'!A2:AA395,26,0)</f>
        <v>1419907.2</v>
      </c>
      <c r="D9" s="5"/>
      <c r="E9" s="5">
        <v>7</v>
      </c>
      <c r="F9" s="5" t="s">
        <v>176</v>
      </c>
      <c r="G9" s="13">
        <v>0</v>
      </c>
      <c r="I9" s="3" t="s">
        <v>95</v>
      </c>
      <c r="J9" s="7">
        <f>Macrogegevens!$C$16</f>
        <v>3.4090909090909088E-2</v>
      </c>
      <c r="L9" s="3" t="s">
        <v>746</v>
      </c>
      <c r="M9" s="21">
        <f>Macrogegevens!G12</f>
        <v>0.01</v>
      </c>
    </row>
    <row r="10" spans="1:14" ht="15" x14ac:dyDescent="0.35">
      <c r="A10" s="37">
        <v>4</v>
      </c>
      <c r="B10" s="37" t="s">
        <v>99</v>
      </c>
      <c r="C10" s="102">
        <f>VLOOKUP(Macrogegevens!C2,'Data inkomsten'!A2:O395,7,0)</f>
        <v>1687000</v>
      </c>
      <c r="D10" s="5"/>
      <c r="E10" s="5">
        <v>8</v>
      </c>
      <c r="F10" s="12"/>
      <c r="G10" s="13">
        <v>0</v>
      </c>
      <c r="I10" s="3" t="s">
        <v>153</v>
      </c>
      <c r="J10" s="8">
        <f>Macrogegevens!C5</f>
        <v>8.0000000000000002E-3</v>
      </c>
      <c r="K10" s="180" t="s">
        <v>665</v>
      </c>
      <c r="L10" s="3" t="s">
        <v>747</v>
      </c>
      <c r="M10" s="21">
        <f>Macrogegevens!G13</f>
        <v>0.02</v>
      </c>
      <c r="N10" s="44"/>
    </row>
    <row r="11" spans="1:14" s="35" customFormat="1" ht="15" x14ac:dyDescent="0.35">
      <c r="A11" s="37">
        <v>5</v>
      </c>
      <c r="B11" s="37" t="s">
        <v>100</v>
      </c>
      <c r="C11" s="102">
        <f>VLOOKUP(Macrogegevens!C2,'Data inkomsten'!A2:O395,8,0)</f>
        <v>2328000</v>
      </c>
      <c r="D11" s="37"/>
      <c r="E11" s="5">
        <v>9</v>
      </c>
      <c r="F11" s="12"/>
      <c r="G11" s="13">
        <v>0</v>
      </c>
      <c r="I11" s="35" t="s">
        <v>154</v>
      </c>
      <c r="J11" s="44">
        <f>IF(Macrogegevens!C10="Hoog",85%,K11)</f>
        <v>0.6</v>
      </c>
      <c r="K11" s="181">
        <f>IF(Macrogegevens!C10="Midden",72.5%,60%)</f>
        <v>0.6</v>
      </c>
      <c r="L11" s="35" t="s">
        <v>748</v>
      </c>
      <c r="M11" s="44">
        <f>Macrogegevens!G14</f>
        <v>0.03</v>
      </c>
      <c r="N11" s="44"/>
    </row>
    <row r="12" spans="1:14" s="35" customFormat="1" ht="15" x14ac:dyDescent="0.2">
      <c r="A12" s="37">
        <v>6</v>
      </c>
      <c r="B12" s="37" t="s">
        <v>116</v>
      </c>
      <c r="C12" s="81">
        <v>0</v>
      </c>
      <c r="D12" s="37"/>
      <c r="E12" s="5">
        <v>10</v>
      </c>
      <c r="F12" s="12"/>
      <c r="G12" s="13">
        <v>0</v>
      </c>
      <c r="I12" s="35" t="s">
        <v>640</v>
      </c>
      <c r="J12" s="188">
        <f>Macrogegevens!G15</f>
        <v>1084384.8999999999</v>
      </c>
      <c r="L12" s="35" t="s">
        <v>67</v>
      </c>
      <c r="M12" s="43">
        <f>Macrogegevens!G18</f>
        <v>1</v>
      </c>
    </row>
    <row r="13" spans="1:14" s="35" customFormat="1" x14ac:dyDescent="0.2">
      <c r="A13" s="37">
        <v>7</v>
      </c>
      <c r="B13" s="37" t="s">
        <v>161</v>
      </c>
      <c r="C13" s="13">
        <f>VLOOKUP(Macrogegevens!C2,'Data inkomsten'!A2:O395,15,0)</f>
        <v>0</v>
      </c>
      <c r="D13" s="37"/>
      <c r="E13" s="5"/>
      <c r="F13" s="5"/>
      <c r="G13" s="5"/>
      <c r="I13" s="35" t="s">
        <v>734</v>
      </c>
      <c r="J13" s="188">
        <f>Macrogegevens!C18</f>
        <v>0</v>
      </c>
      <c r="L13" s="35" t="s">
        <v>735</v>
      </c>
      <c r="M13" s="42">
        <f>Macrogegevens!G15</f>
        <v>1084384.8999999999</v>
      </c>
      <c r="N13" s="220">
        <f>IF(M8&gt;0.005,0.2*M13,0)</f>
        <v>0</v>
      </c>
    </row>
    <row r="14" spans="1:14" x14ac:dyDescent="0.2">
      <c r="A14" s="37">
        <v>8</v>
      </c>
      <c r="B14" s="37" t="s">
        <v>101</v>
      </c>
      <c r="C14" s="13">
        <f>VLOOKUP(Macrogegevens!C2,'Data inkomsten'!A2:O395,13,0)</f>
        <v>22000</v>
      </c>
      <c r="D14" s="5"/>
      <c r="E14" s="5"/>
      <c r="F14" s="5" t="s">
        <v>8</v>
      </c>
      <c r="G14" s="9">
        <f>SUM(G3:G12)</f>
        <v>0</v>
      </c>
      <c r="L14" s="3" t="s">
        <v>736</v>
      </c>
      <c r="M14" s="14">
        <f>Macrogegevens!G16</f>
        <v>-8365610.1502907248</v>
      </c>
    </row>
    <row r="15" spans="1:14" x14ac:dyDescent="0.2">
      <c r="A15" s="37">
        <v>9</v>
      </c>
      <c r="B15" s="37" t="s">
        <v>114</v>
      </c>
      <c r="C15" s="13">
        <v>0</v>
      </c>
      <c r="D15" s="5"/>
      <c r="E15" s="5"/>
      <c r="F15" s="5"/>
      <c r="G15" s="5"/>
      <c r="H15" s="2" t="s">
        <v>62</v>
      </c>
    </row>
    <row r="16" spans="1:14" x14ac:dyDescent="0.2">
      <c r="A16" s="37">
        <v>10</v>
      </c>
      <c r="B16" s="37" t="s">
        <v>113</v>
      </c>
      <c r="C16" s="40">
        <v>0</v>
      </c>
      <c r="D16" s="5"/>
      <c r="E16" s="1" t="s">
        <v>6</v>
      </c>
      <c r="F16" s="1" t="s">
        <v>128</v>
      </c>
      <c r="G16" s="4">
        <f>SUM(1,J2,J6,J8)</f>
        <v>1.0297699653091099</v>
      </c>
      <c r="H16" s="15" t="s">
        <v>26</v>
      </c>
      <c r="I16" s="15" t="s">
        <v>25</v>
      </c>
      <c r="J16" s="15" t="s">
        <v>27</v>
      </c>
      <c r="K16" s="3" t="s">
        <v>64</v>
      </c>
      <c r="L16" s="15" t="s">
        <v>4</v>
      </c>
      <c r="M16" s="3" t="s">
        <v>68</v>
      </c>
    </row>
    <row r="17" spans="1:14" x14ac:dyDescent="0.2">
      <c r="A17" s="37">
        <v>11</v>
      </c>
      <c r="B17" s="37" t="s">
        <v>156</v>
      </c>
      <c r="C17" s="40">
        <v>0</v>
      </c>
      <c r="D17" s="5"/>
      <c r="E17" s="5">
        <v>11</v>
      </c>
      <c r="F17" s="5" t="s">
        <v>119</v>
      </c>
      <c r="G17" s="94">
        <v>0</v>
      </c>
      <c r="H17" s="3">
        <f>Macrogegevens!C1</f>
        <v>2015</v>
      </c>
      <c r="I17" s="32">
        <f>C83</f>
        <v>-0.13728000000000007</v>
      </c>
      <c r="J17" s="24">
        <f>G63</f>
        <v>-3.0906742222222223</v>
      </c>
      <c r="K17" s="24">
        <f>SUM(I17,-J17)</f>
        <v>2.9533942222222223</v>
      </c>
      <c r="L17" s="24">
        <f>K17*0.5*J7</f>
        <v>1.4766971111111112E-2</v>
      </c>
      <c r="M17" s="24">
        <f t="shared" ref="M17:M26" si="0">SUM(K17:L17)</f>
        <v>2.9681611933333332</v>
      </c>
    </row>
    <row r="18" spans="1:14" x14ac:dyDescent="0.2">
      <c r="A18" s="37">
        <v>12</v>
      </c>
      <c r="B18" s="37" t="s">
        <v>115</v>
      </c>
      <c r="C18" s="13">
        <v>0</v>
      </c>
      <c r="D18" s="5"/>
      <c r="E18" s="5">
        <v>12</v>
      </c>
      <c r="F18" s="12"/>
      <c r="G18" s="13">
        <v>0</v>
      </c>
      <c r="H18" s="3">
        <f t="shared" ref="H18:H26" si="1">SUM(H17,1)</f>
        <v>2016</v>
      </c>
      <c r="I18" s="24">
        <f>I17*C82</f>
        <v>-0.1390849923678866</v>
      </c>
      <c r="J18" s="24">
        <f>J17*G62</f>
        <v>-3.1213336032884267</v>
      </c>
      <c r="K18" s="24">
        <f t="shared" ref="K18:K26" si="2">SUM(I18,-J18)</f>
        <v>2.9822486109205402</v>
      </c>
      <c r="L18" s="24">
        <f>J7*(SUM(M17,(0.5*K18)))</f>
        <v>4.4592854987936033E-2</v>
      </c>
      <c r="M18" s="24">
        <f t="shared" si="0"/>
        <v>3.0268414659084764</v>
      </c>
    </row>
    <row r="19" spans="1:14" x14ac:dyDescent="0.2">
      <c r="A19" s="5">
        <v>13</v>
      </c>
      <c r="B19" s="12"/>
      <c r="C19" s="31">
        <v>0</v>
      </c>
      <c r="D19" s="5"/>
      <c r="E19" s="5"/>
      <c r="F19" s="5"/>
      <c r="G19" s="5"/>
      <c r="H19" s="3">
        <f t="shared" si="1"/>
        <v>2017</v>
      </c>
      <c r="I19" s="24">
        <f>I18*C82</f>
        <v>-0.14091371723466684</v>
      </c>
      <c r="J19" s="24">
        <f>J18*G62</f>
        <v>-3.1522971243512066</v>
      </c>
      <c r="K19" s="24">
        <f t="shared" si="2"/>
        <v>3.01138340711654</v>
      </c>
      <c r="L19" s="24">
        <f>J7*(SUM(M17,M18,(0.5*K19)))</f>
        <v>7.5006943628000797E-2</v>
      </c>
      <c r="M19" s="24">
        <f t="shared" si="0"/>
        <v>3.0863903507445407</v>
      </c>
    </row>
    <row r="20" spans="1:14" x14ac:dyDescent="0.2">
      <c r="A20" s="5">
        <v>14</v>
      </c>
      <c r="B20" s="12"/>
      <c r="C20" s="13">
        <v>0</v>
      </c>
      <c r="D20" s="5"/>
      <c r="E20" s="5"/>
      <c r="F20" s="5" t="s">
        <v>9</v>
      </c>
      <c r="G20" s="9">
        <f>SUM(G17:G18)</f>
        <v>0</v>
      </c>
      <c r="H20" s="3">
        <f t="shared" si="1"/>
        <v>2018</v>
      </c>
      <c r="I20" s="24">
        <f>I19*C82</f>
        <v>-0.14276648664127445</v>
      </c>
      <c r="J20" s="24">
        <f>J19*G62</f>
        <v>-3.1835678024687772</v>
      </c>
      <c r="K20" s="24">
        <f t="shared" si="2"/>
        <v>3.0408013158275029</v>
      </c>
      <c r="L20" s="24">
        <f>J7*(SUM(M17,M18,M19,(0.5*K20)))</f>
        <v>0.106017936679001</v>
      </c>
      <c r="M20" s="24">
        <f t="shared" si="0"/>
        <v>3.146819252506504</v>
      </c>
    </row>
    <row r="21" spans="1:14" x14ac:dyDescent="0.2">
      <c r="A21" s="5"/>
      <c r="B21" s="5"/>
      <c r="C21" s="9"/>
      <c r="D21" s="5"/>
      <c r="E21" s="5"/>
      <c r="F21" s="5"/>
      <c r="G21" s="9"/>
      <c r="H21" s="3">
        <f t="shared" si="1"/>
        <v>2019</v>
      </c>
      <c r="I21" s="24">
        <f>I20*C82</f>
        <v>-0.14464361673143672</v>
      </c>
      <c r="J21" s="24">
        <f>J20*G62</f>
        <v>-3.2151486846284665</v>
      </c>
      <c r="K21" s="24">
        <f t="shared" si="2"/>
        <v>3.0705050678970296</v>
      </c>
      <c r="L21" s="24">
        <f>J7*(SUM(M17,M18,M19,M20,(0.5*K21)))</f>
        <v>0.13763464796441369</v>
      </c>
      <c r="M21" s="24">
        <f t="shared" si="0"/>
        <v>3.2081397158614431</v>
      </c>
    </row>
    <row r="22" spans="1:14" x14ac:dyDescent="0.2">
      <c r="A22" s="5"/>
      <c r="B22" s="5" t="s">
        <v>9</v>
      </c>
      <c r="C22" s="9">
        <f>SUM(C9:C20)</f>
        <v>5456907.2000000002</v>
      </c>
      <c r="D22" s="5"/>
      <c r="E22" s="1" t="s">
        <v>7</v>
      </c>
      <c r="F22" s="1" t="s">
        <v>132</v>
      </c>
      <c r="G22" s="4">
        <f>SUM(1,J2,J6)</f>
        <v>1.0061699653091098</v>
      </c>
      <c r="H22" s="3">
        <f t="shared" si="1"/>
        <v>2020</v>
      </c>
      <c r="I22" s="24">
        <f>I21*C82</f>
        <v>-0.14654542780561902</v>
      </c>
      <c r="J22" s="24">
        <f>J21*G62</f>
        <v>-3.2470428480436109</v>
      </c>
      <c r="K22" s="24">
        <f t="shared" si="2"/>
        <v>3.1004974202379918</v>
      </c>
      <c r="L22" s="24">
        <f>J7*(SUM(M17,M18,M19,M20,M21,(0.5*K22)))</f>
        <v>0.16986600688473291</v>
      </c>
      <c r="M22" s="24">
        <f t="shared" si="0"/>
        <v>3.2703634271227249</v>
      </c>
    </row>
    <row r="23" spans="1:14" x14ac:dyDescent="0.2">
      <c r="A23" s="5"/>
      <c r="B23" s="5"/>
      <c r="C23" s="9"/>
      <c r="D23" s="5"/>
      <c r="E23" s="5">
        <v>13</v>
      </c>
      <c r="F23" s="5" t="s">
        <v>131</v>
      </c>
      <c r="G23" s="94">
        <v>0</v>
      </c>
      <c r="H23" s="3">
        <f t="shared" si="1"/>
        <v>2021</v>
      </c>
      <c r="I23" s="24">
        <f>I22*C82</f>
        <v>-0.14847224437567882</v>
      </c>
      <c r="J23" s="24">
        <f>J22*G62</f>
        <v>-3.2792534004533964</v>
      </c>
      <c r="K23" s="24">
        <f t="shared" si="2"/>
        <v>3.1307811560777177</v>
      </c>
      <c r="L23" s="24">
        <f>J7*(SUM(M17,M18,M19,M20,M21,M22,(0.5*K23)))</f>
        <v>0.20272105983515878</v>
      </c>
      <c r="M23" s="24">
        <f t="shared" si="0"/>
        <v>3.3335022159128767</v>
      </c>
    </row>
    <row r="24" spans="1:14" x14ac:dyDescent="0.2">
      <c r="A24" s="1" t="s">
        <v>7</v>
      </c>
      <c r="B24" s="1" t="s">
        <v>123</v>
      </c>
      <c r="C24" s="4">
        <f>SUM(1,J2,J3)</f>
        <v>1.0249999999999999</v>
      </c>
      <c r="D24" s="5"/>
      <c r="E24" s="5">
        <v>14</v>
      </c>
      <c r="F24" s="5" t="s">
        <v>133</v>
      </c>
      <c r="G24" s="94">
        <v>0</v>
      </c>
      <c r="H24" s="3">
        <f t="shared" si="1"/>
        <v>2022</v>
      </c>
      <c r="I24" s="24">
        <f>I23*C82</f>
        <v>-0.15042439522023801</v>
      </c>
      <c r="J24" s="24">
        <f>J23*G62</f>
        <v>-3.3117834804256745</v>
      </c>
      <c r="K24" s="24">
        <f t="shared" si="2"/>
        <v>3.1613590852054365</v>
      </c>
      <c r="L24" s="24">
        <f>J7*(SUM(M17,M18,M19,M20,M21,M22,M23,(0.5*K24)))</f>
        <v>0.23620897163992616</v>
      </c>
      <c r="M24" s="24">
        <f t="shared" si="0"/>
        <v>3.3975680568453628</v>
      </c>
    </row>
    <row r="25" spans="1:14" x14ac:dyDescent="0.2">
      <c r="A25" s="5">
        <v>15</v>
      </c>
      <c r="B25" s="5" t="s">
        <v>111</v>
      </c>
      <c r="C25" s="13">
        <f>VLOOKUP(Macrogegevens!C2,'Data inkomsten'!A2:O395,12,0)</f>
        <v>41000</v>
      </c>
      <c r="D25" s="5"/>
      <c r="E25" s="5">
        <v>15</v>
      </c>
      <c r="F25" s="5" t="s">
        <v>137</v>
      </c>
      <c r="G25" s="13">
        <v>0</v>
      </c>
      <c r="H25" s="3">
        <f t="shared" si="1"/>
        <v>2023</v>
      </c>
      <c r="I25" s="24">
        <f>I24*C82</f>
        <v>-0.15240221344078345</v>
      </c>
      <c r="J25" s="24">
        <f>J24*G62</f>
        <v>-3.3446362576627799</v>
      </c>
      <c r="K25" s="24">
        <f t="shared" si="2"/>
        <v>3.1922340442219963</v>
      </c>
      <c r="L25" s="24">
        <f>J7*(SUM(M17,M18,M19,M20,M21,M22,M23,M24,(0.5*K25)))</f>
        <v>0.27033902700346257</v>
      </c>
      <c r="M25" s="24">
        <f t="shared" si="0"/>
        <v>3.4625730712254588</v>
      </c>
    </row>
    <row r="26" spans="1:14" x14ac:dyDescent="0.2">
      <c r="A26" s="5">
        <v>16</v>
      </c>
      <c r="B26" s="5" t="s">
        <v>112</v>
      </c>
      <c r="C26" s="13">
        <v>0</v>
      </c>
      <c r="D26" s="5"/>
      <c r="E26" s="5">
        <v>16</v>
      </c>
      <c r="F26" s="5" t="s">
        <v>134</v>
      </c>
      <c r="G26" s="22">
        <v>0</v>
      </c>
      <c r="H26" s="3">
        <f t="shared" si="1"/>
        <v>2024</v>
      </c>
      <c r="I26" s="24">
        <f>I25*C82</f>
        <v>-0.1544060365185051</v>
      </c>
      <c r="J26" s="24">
        <f>J25*G62</f>
        <v>-3.3778149333103853</v>
      </c>
      <c r="K26" s="24">
        <f t="shared" si="2"/>
        <v>3.2234088967918804</v>
      </c>
      <c r="L26" s="24">
        <f>J7*(SUM(M17,M18,M19,M20,M21,M22,M23,M24,M25,(0.5*K26)))</f>
        <v>0.30512063197856659</v>
      </c>
      <c r="M26" s="24">
        <f t="shared" si="0"/>
        <v>3.5285295287704468</v>
      </c>
    </row>
    <row r="27" spans="1:14" x14ac:dyDescent="0.2">
      <c r="A27" s="5">
        <v>17</v>
      </c>
      <c r="B27" s="5" t="s">
        <v>174</v>
      </c>
      <c r="C27" s="13">
        <v>0</v>
      </c>
      <c r="D27" s="5"/>
      <c r="E27" s="37">
        <v>17</v>
      </c>
      <c r="F27" s="37" t="s">
        <v>135</v>
      </c>
      <c r="G27" s="40">
        <v>0</v>
      </c>
    </row>
    <row r="28" spans="1:14" x14ac:dyDescent="0.2">
      <c r="A28" s="5">
        <v>18</v>
      </c>
      <c r="B28" s="5" t="s">
        <v>177</v>
      </c>
      <c r="C28" s="13">
        <v>0</v>
      </c>
      <c r="D28" s="5"/>
      <c r="E28" s="5">
        <v>18</v>
      </c>
      <c r="F28" s="12"/>
      <c r="G28" s="22">
        <v>0</v>
      </c>
      <c r="H28" s="2" t="s">
        <v>63</v>
      </c>
    </row>
    <row r="29" spans="1:14" x14ac:dyDescent="0.2">
      <c r="A29" s="5">
        <v>19</v>
      </c>
      <c r="B29" s="12"/>
      <c r="C29" s="13">
        <v>0</v>
      </c>
      <c r="D29" s="5"/>
      <c r="E29" s="5">
        <v>19</v>
      </c>
      <c r="F29" s="12"/>
      <c r="G29" s="22">
        <v>0</v>
      </c>
      <c r="H29" s="15" t="s">
        <v>26</v>
      </c>
      <c r="I29" s="15" t="s">
        <v>25</v>
      </c>
      <c r="J29" s="15" t="s">
        <v>27</v>
      </c>
      <c r="K29" s="15" t="s">
        <v>61</v>
      </c>
      <c r="L29" s="15" t="s">
        <v>64</v>
      </c>
      <c r="M29" s="15" t="s">
        <v>4</v>
      </c>
      <c r="N29" s="3" t="s">
        <v>68</v>
      </c>
    </row>
    <row r="30" spans="1:14" x14ac:dyDescent="0.2">
      <c r="A30" s="5">
        <v>20</v>
      </c>
      <c r="B30" s="12"/>
      <c r="C30" s="13">
        <v>0</v>
      </c>
      <c r="D30" s="5"/>
      <c r="E30" s="5">
        <v>20</v>
      </c>
      <c r="F30" s="12"/>
      <c r="G30" s="13">
        <v>0</v>
      </c>
      <c r="H30" s="3">
        <f>Macrogegevens!C1</f>
        <v>2015</v>
      </c>
      <c r="I30" s="36">
        <f>C83</f>
        <v>-0.13728000000000007</v>
      </c>
      <c r="J30" s="36">
        <f>G63</f>
        <v>-3.0906742222222223</v>
      </c>
      <c r="K30" s="24">
        <v>0</v>
      </c>
      <c r="L30" s="24">
        <f>SUM(I30,-J30,K30)</f>
        <v>2.9533942222222223</v>
      </c>
      <c r="M30" s="24">
        <f>J7*0.5*L30</f>
        <v>1.4766971111111112E-2</v>
      </c>
      <c r="N30" s="24">
        <f t="shared" ref="N30:N39" si="3">SUM(L30:M30)</f>
        <v>2.9681611933333332</v>
      </c>
    </row>
    <row r="31" spans="1:14" s="35" customFormat="1" ht="14.25" customHeight="1" x14ac:dyDescent="0.2">
      <c r="A31" s="5"/>
      <c r="B31" s="5"/>
      <c r="C31" s="9"/>
      <c r="D31" s="37"/>
      <c r="E31" s="5"/>
      <c r="F31" s="5"/>
      <c r="G31" s="5"/>
      <c r="H31" s="3">
        <f t="shared" ref="H31:H39" si="4">SUM(H30,1)</f>
        <v>2016</v>
      </c>
      <c r="I31" s="36">
        <f>SUM(SUM(C83*N3,J13)*C82,N13*C82)</f>
        <v>-0.13143531778765283</v>
      </c>
      <c r="J31" s="36">
        <f>SUM(G63*N6,J13)*G62</f>
        <v>-3.1681536073377528</v>
      </c>
      <c r="K31" s="36">
        <f>SUM((M8*M12*SUM(M13,M14))*((SUM(1,0.5*J2,0.5*J4,J6)^1)),-N13*C82)</f>
        <v>0</v>
      </c>
      <c r="L31" s="36">
        <f t="shared" ref="L31:L39" si="5">SUM(I31,-J31,K31)</f>
        <v>3.0367182895500999</v>
      </c>
      <c r="M31" s="36">
        <f>SUM(SUM(J7,M9)*0.5*L31,J7*N30)</f>
        <v>6.004879482883433E-2</v>
      </c>
      <c r="N31" s="36">
        <f t="shared" si="3"/>
        <v>3.0967670843789343</v>
      </c>
    </row>
    <row r="32" spans="1:14" x14ac:dyDescent="0.2">
      <c r="A32" s="5"/>
      <c r="B32" s="5" t="s">
        <v>10</v>
      </c>
      <c r="C32" s="9">
        <f>SUM(C25:C30)</f>
        <v>41000</v>
      </c>
      <c r="D32" s="5"/>
      <c r="E32" s="5"/>
      <c r="F32" s="5" t="s">
        <v>10</v>
      </c>
      <c r="G32" s="9">
        <f>SUM(G23:G30)</f>
        <v>0</v>
      </c>
      <c r="H32" s="3">
        <f t="shared" si="4"/>
        <v>2017</v>
      </c>
      <c r="I32" s="24">
        <f>SUM(SUM(C83*N2,J13)*(C82^2),2*N13*(C82^2))</f>
        <v>-0.13316346278676017</v>
      </c>
      <c r="J32" s="24">
        <f>SUM(G63*N5,J13)*(G62^2)</f>
        <v>-3.1995815812164738</v>
      </c>
      <c r="K32" s="24">
        <f>SUM((M8*M12*SUM(M13,M14))*(SUM(1,0.5*J2,0.5*J4,J6)^2)*2,-2*N13*(C82^2))</f>
        <v>0</v>
      </c>
      <c r="L32" s="24">
        <f t="shared" si="5"/>
        <v>3.0664181184297137</v>
      </c>
      <c r="M32" s="24">
        <f>SUM(SUM(J7,M10)*0.5*L32,J7*N30,SUM(J7,M9)*N31)</f>
        <v>0.13761322539735774</v>
      </c>
      <c r="N32" s="24">
        <f t="shared" si="3"/>
        <v>3.2040313438270713</v>
      </c>
    </row>
    <row r="33" spans="1:14" x14ac:dyDescent="0.2">
      <c r="A33" s="5"/>
      <c r="B33" s="5"/>
      <c r="C33" s="9"/>
      <c r="D33" s="5"/>
      <c r="E33" s="5"/>
      <c r="F33" s="5"/>
      <c r="G33" s="5"/>
      <c r="H33" s="3">
        <f t="shared" si="4"/>
        <v>2018</v>
      </c>
      <c r="I33" s="24">
        <f>SUM(SUM(C83*N2,J13)*(C82^3),3*N13*(C82^3))</f>
        <v>-0.13491432987600435</v>
      </c>
      <c r="J33" s="24">
        <f>SUM(G63*N5,J13)*(G62^3)</f>
        <v>-3.2313213195058079</v>
      </c>
      <c r="K33" s="24">
        <f>SUM((M8*M12*SUM(M13,M14))*(SUM(1,0.5*J2,0.5*J4,J6)^3)*3,-3*N13*(C82^3))</f>
        <v>0</v>
      </c>
      <c r="L33" s="24">
        <f t="shared" si="5"/>
        <v>3.0964069896298034</v>
      </c>
      <c r="M33" s="24">
        <f>SUM(SUM(J7,M11)*(0.5*L33),J7*N30,SUM(J7,M9)*N31,SUM(J7,M10)*N32)</f>
        <v>0.24966603372832022</v>
      </c>
      <c r="N33" s="24">
        <f t="shared" si="3"/>
        <v>3.3460730233581235</v>
      </c>
    </row>
    <row r="34" spans="1:14" x14ac:dyDescent="0.2">
      <c r="A34" s="1" t="s">
        <v>11</v>
      </c>
      <c r="B34" s="1" t="s">
        <v>125</v>
      </c>
      <c r="C34" s="4">
        <f>SUM(1,J6,J4)</f>
        <v>1.0136699653091099</v>
      </c>
      <c r="D34" s="5"/>
      <c r="E34" s="38" t="s">
        <v>11</v>
      </c>
      <c r="F34" s="38" t="s">
        <v>127</v>
      </c>
      <c r="G34" s="39">
        <f>SUM(1,(0.5*J2),(0.5*J4),J6)</f>
        <v>1.0099199653091098</v>
      </c>
      <c r="H34" s="3">
        <f t="shared" si="4"/>
        <v>2019</v>
      </c>
      <c r="I34" s="24">
        <f>SUM(SUM(C83*N2,J13)*(C82^4),4*N13*(C82^4))</f>
        <v>-0.13668821781120771</v>
      </c>
      <c r="J34" s="24">
        <f>SUM(G63*N5,J13)*(G62^4)</f>
        <v>-3.2633759148978925</v>
      </c>
      <c r="K34" s="24">
        <f>SUM((M8*M12*SUM(M13,M14))*(SUM(1,0.5*J2,0.5*J4,J6)^4)*4,-4*N13*(C82^4))</f>
        <v>0</v>
      </c>
      <c r="L34" s="24">
        <f t="shared" si="5"/>
        <v>3.1266876970866848</v>
      </c>
      <c r="M34" s="24">
        <f>SUM(SUM(J7,M11)*SUM(0.5*L34,N33),J7*N30,SUM(J7,M9)*N31,SUM(J7,M10)*N32)</f>
        <v>0.38411456881178274</v>
      </c>
      <c r="N34" s="24">
        <f t="shared" si="3"/>
        <v>3.5108022658984677</v>
      </c>
    </row>
    <row r="35" spans="1:14" s="194" customFormat="1" ht="14.25" customHeight="1" x14ac:dyDescent="0.2">
      <c r="A35" s="191">
        <v>21</v>
      </c>
      <c r="B35" s="191" t="s">
        <v>141</v>
      </c>
      <c r="C35" s="192">
        <f>VLOOKUP(Macrogegevens!C2,'Data inkomsten'!A2:N395,6,0)</f>
        <v>2920607.0596165024</v>
      </c>
      <c r="D35" s="191"/>
      <c r="E35" s="191">
        <v>21</v>
      </c>
      <c r="F35" s="191" t="s">
        <v>130</v>
      </c>
      <c r="G35" s="193">
        <v>0</v>
      </c>
      <c r="H35" s="194">
        <f t="shared" si="4"/>
        <v>2020</v>
      </c>
      <c r="I35" s="195">
        <f>SUM(SUM(C83*N2,J13)*(C82^5),5*N13*(C82^5))</f>
        <v>-0.13848542927631</v>
      </c>
      <c r="J35" s="195">
        <f>SUM(G63*N5,J13)*(G62^5)</f>
        <v>-3.295748490764264</v>
      </c>
      <c r="K35" s="195">
        <f>SUM((M8*M12*SUM(M13,M14))*(SUM(1,0.5*J2,0.5*J4,J6)^5)*5,-5*N13*(C82^5))</f>
        <v>0</v>
      </c>
      <c r="L35" s="195">
        <f t="shared" si="5"/>
        <v>3.1572630614879542</v>
      </c>
      <c r="M35" s="195">
        <f>SUM(SUM(J7,M11)*SUM(0.5*L35,N33,N34),J7*N30,SUM(J7,M9)*N31,SUM(J7,M10)*N32)</f>
        <v>0.525158166735747</v>
      </c>
      <c r="N35" s="195">
        <f t="shared" si="3"/>
        <v>3.682421228223701</v>
      </c>
    </row>
    <row r="36" spans="1:14" s="194" customFormat="1" ht="14.25" customHeight="1" x14ac:dyDescent="0.2">
      <c r="A36" s="191">
        <v>22</v>
      </c>
      <c r="B36" s="229"/>
      <c r="C36" s="196">
        <v>0</v>
      </c>
      <c r="D36" s="191"/>
      <c r="E36" s="191">
        <v>22</v>
      </c>
      <c r="F36" s="191" t="s">
        <v>136</v>
      </c>
      <c r="G36" s="193">
        <v>0</v>
      </c>
      <c r="H36" s="194">
        <f t="shared" si="4"/>
        <v>2021</v>
      </c>
      <c r="I36" s="195">
        <f>SUM(SUM(C83*N2,J13)*(C82^6),5*N13*(C82^6))</f>
        <v>-0.14030627093501652</v>
      </c>
      <c r="J36" s="195">
        <f>SUM(G63*N5,J13)*(G62^6)</f>
        <v>-3.3284422014601964</v>
      </c>
      <c r="K36" s="195">
        <f>SUM((M8*M12*SUM(M13,M14))*(SUM(1,0.5*J2,0.5*J4,J6)^6)*5,-5*N13*(C82^6))</f>
        <v>0</v>
      </c>
      <c r="L36" s="195">
        <f t="shared" si="5"/>
        <v>3.18813593052518</v>
      </c>
      <c r="M36" s="195">
        <f>SUM(SUM(J7,M11)*SUM(0.5*L36,N33,N34,N35),J7*N30,SUM(J7,M9)*N31,SUM(J7,M10)*N32)</f>
        <v>0.6730724732454394</v>
      </c>
      <c r="N36" s="195">
        <f t="shared" si="3"/>
        <v>3.8612084037706191</v>
      </c>
    </row>
    <row r="37" spans="1:14" ht="12.75" customHeight="1" x14ac:dyDescent="0.2">
      <c r="A37" s="5">
        <v>23</v>
      </c>
      <c r="B37" s="12"/>
      <c r="C37" s="13">
        <v>0</v>
      </c>
      <c r="D37" s="5"/>
      <c r="E37" s="5">
        <v>23</v>
      </c>
      <c r="F37" s="230" t="s">
        <v>795</v>
      </c>
      <c r="G37" s="13">
        <v>0</v>
      </c>
      <c r="H37" s="3">
        <f t="shared" si="4"/>
        <v>2022</v>
      </c>
      <c r="I37" s="24">
        <f>SUM(SUM(C83*N2,J13)*(C82^7),5*N13*(C82^7))</f>
        <v>-0.14215105348312493</v>
      </c>
      <c r="J37" s="24">
        <f>SUM(G63*N5,J13)*(G62^7)</f>
        <v>-3.3614602326320586</v>
      </c>
      <c r="K37" s="24">
        <f>SUM((M8*M12*SUM(M13,M14))*(SUM(1,0.5*J2,0.5*J4,J6)^7)*5,-5*N13*(C82^7))</f>
        <v>0</v>
      </c>
      <c r="L37" s="24">
        <f t="shared" si="5"/>
        <v>3.2193091791489339</v>
      </c>
      <c r="M37" s="24">
        <f>SUM(SUM(J7,M11)*SUM(0.5*L37,N33,N34,N35,N36),J7*N30,SUM(J7,M9)*N31,SUM(J7,M10)*N32)</f>
        <v>0.82814427436873916</v>
      </c>
      <c r="N37" s="24">
        <f t="shared" si="3"/>
        <v>4.0474534535176732</v>
      </c>
    </row>
    <row r="38" spans="1:14" s="35" customFormat="1" ht="12.75" customHeight="1" x14ac:dyDescent="0.2">
      <c r="A38" s="5">
        <v>24</v>
      </c>
      <c r="B38" s="12"/>
      <c r="C38" s="13">
        <v>0</v>
      </c>
      <c r="D38" s="37"/>
      <c r="E38" s="5">
        <v>24</v>
      </c>
      <c r="F38" s="12"/>
      <c r="G38" s="13">
        <v>0</v>
      </c>
      <c r="H38" s="3">
        <f t="shared" si="4"/>
        <v>2023</v>
      </c>
      <c r="I38" s="24">
        <f>SUM(SUM(C83*N2,J13)*(C82^8),5*N13*(C82^8))</f>
        <v>-0.14402009170154037</v>
      </c>
      <c r="J38" s="24">
        <f>SUM(G63*N5,J13)*(G62^8)</f>
        <v>-3.3948058015277209</v>
      </c>
      <c r="K38" s="36">
        <f>SUM((M8*M12*SUM(M13,M14))*(SUM(1,0.5*J2,0.5*J4,J6)^8)*5,-5*N13*(C82^8))</f>
        <v>0</v>
      </c>
      <c r="L38" s="36">
        <f t="shared" si="5"/>
        <v>3.2507857098261805</v>
      </c>
      <c r="M38" s="36">
        <f>SUM(SUM(J7,M11)*SUM(0.5*L38,N33,N34,N35,N36,N37),J7*N30,SUM(J7,M9)*N31,SUM(J7,M10)*N32)</f>
        <v>0.99067194312299101</v>
      </c>
      <c r="N38" s="36">
        <f t="shared" si="3"/>
        <v>4.2414576529491717</v>
      </c>
    </row>
    <row r="39" spans="1:14" x14ac:dyDescent="0.2">
      <c r="A39" s="5"/>
      <c r="B39" s="5"/>
      <c r="C39" s="9"/>
      <c r="D39" s="5"/>
      <c r="E39" s="5">
        <v>25</v>
      </c>
      <c r="F39" s="5" t="s">
        <v>671</v>
      </c>
      <c r="G39" s="9">
        <f>SUM($G$63,-$G$14,-$G$20,-$G$32,-G35,-G36,-G37,-G38,-G53,-G60)</f>
        <v>-3.0906742222222223</v>
      </c>
      <c r="H39" s="3">
        <f t="shared" si="4"/>
        <v>2024</v>
      </c>
      <c r="I39" s="24">
        <f>SUM(SUM(C83*N2,J13)*(C82^9),5*N13*(C82^9))</f>
        <v>-0.14591370450998734</v>
      </c>
      <c r="J39" s="24">
        <f>SUM(G63*N5,J13)*(G62^9)</f>
        <v>-3.4284821573100404</v>
      </c>
      <c r="K39" s="24">
        <f>SUM((M8*M12*SUM(M13,M14))*(SUM(1,0.5*J2,0.5*J4,J6)^9)*5,-5*N13*(C82^9))</f>
        <v>0</v>
      </c>
      <c r="L39" s="24">
        <f t="shared" si="5"/>
        <v>3.2825684528000529</v>
      </c>
      <c r="M39" s="24">
        <f>SUM(SUM(J7,M11)*SUM(0.5*L39,N33,N34,N35,N36,N37,N38),J7*N30,SUM(J7,M9)*N31,SUM(J7,M10)*N32)</f>
        <v>1.1609659041004357</v>
      </c>
      <c r="N39" s="24">
        <f t="shared" si="3"/>
        <v>4.4435343569004884</v>
      </c>
    </row>
    <row r="40" spans="1:14" x14ac:dyDescent="0.2">
      <c r="A40" s="5"/>
      <c r="B40" s="5" t="s">
        <v>12</v>
      </c>
      <c r="C40" s="9">
        <f>SUM(C35:C38)</f>
        <v>2920607.0596165024</v>
      </c>
      <c r="D40" s="5"/>
      <c r="E40" s="5"/>
      <c r="F40" s="5"/>
      <c r="G40" s="5"/>
    </row>
    <row r="41" spans="1:14" x14ac:dyDescent="0.2">
      <c r="A41" s="5"/>
      <c r="B41" s="5"/>
      <c r="C41" s="9"/>
      <c r="D41" s="5"/>
      <c r="E41" s="5"/>
      <c r="F41" s="5" t="s">
        <v>12</v>
      </c>
      <c r="G41" s="9">
        <f>SUM(G35:G39)</f>
        <v>-3.0906742222222223</v>
      </c>
      <c r="H41" s="3">
        <f>IF(G41&lt;0,-G41,G41)</f>
        <v>3.0906742222222223</v>
      </c>
    </row>
    <row r="42" spans="1:14" x14ac:dyDescent="0.2">
      <c r="A42" s="1" t="s">
        <v>13</v>
      </c>
      <c r="B42" s="1" t="s">
        <v>122</v>
      </c>
      <c r="C42" s="4">
        <f>SUM(1,(0.2*J2),(0.8*J4),J6)</f>
        <v>1.0121699653091099</v>
      </c>
      <c r="D42" s="5"/>
      <c r="E42" s="5"/>
      <c r="F42" s="5"/>
      <c r="G42" s="5"/>
    </row>
    <row r="43" spans="1:14" ht="15" x14ac:dyDescent="0.35">
      <c r="A43" s="37">
        <v>25</v>
      </c>
      <c r="B43" s="37" t="s">
        <v>106</v>
      </c>
      <c r="C43" s="102">
        <f>VLOOKUP(Macrogegevens!C2,'Data inkomsten'!A2:O395,10,0)</f>
        <v>314000</v>
      </c>
      <c r="D43" s="5"/>
      <c r="E43" s="1" t="s">
        <v>13</v>
      </c>
      <c r="F43" s="1" t="s">
        <v>129</v>
      </c>
      <c r="G43" s="4">
        <f>SUM(1,(0.2*J2),(0.8*J4),J6)</f>
        <v>1.0121699653091099</v>
      </c>
    </row>
    <row r="44" spans="1:14" ht="15" x14ac:dyDescent="0.35">
      <c r="A44" s="5">
        <v>26</v>
      </c>
      <c r="B44" s="5" t="s">
        <v>107</v>
      </c>
      <c r="C44" s="102">
        <f>VLOOKUP(Macrogegevens!C2,'Data inkomsten'!A2:O395,9,0)</f>
        <v>764000</v>
      </c>
      <c r="D44" s="5"/>
      <c r="E44" s="11">
        <v>26</v>
      </c>
      <c r="F44" s="5" t="s">
        <v>793</v>
      </c>
      <c r="G44" s="13">
        <v>0</v>
      </c>
    </row>
    <row r="45" spans="1:14" ht="15" x14ac:dyDescent="0.35">
      <c r="A45" s="5">
        <v>27</v>
      </c>
      <c r="B45" s="5" t="s">
        <v>139</v>
      </c>
      <c r="C45" s="102">
        <v>0</v>
      </c>
      <c r="D45" s="5"/>
      <c r="E45" s="5">
        <v>27</v>
      </c>
      <c r="F45" s="5" t="s">
        <v>794</v>
      </c>
      <c r="G45" s="13">
        <v>0</v>
      </c>
    </row>
    <row r="46" spans="1:14" x14ac:dyDescent="0.2">
      <c r="A46" s="5">
        <v>28</v>
      </c>
      <c r="B46" s="5" t="s">
        <v>791</v>
      </c>
      <c r="C46" s="189">
        <f>VLOOKUP(Macrogegevens!C2,'Data inkomsten'!A2:N395,4,0)</f>
        <v>10283020</v>
      </c>
      <c r="D46" s="5"/>
      <c r="E46" s="5">
        <v>28</v>
      </c>
      <c r="F46" s="12"/>
      <c r="G46" s="13">
        <v>0</v>
      </c>
    </row>
    <row r="47" spans="1:14" ht="15" customHeight="1" x14ac:dyDescent="0.35">
      <c r="A47" s="5">
        <v>29</v>
      </c>
      <c r="B47" s="5" t="s">
        <v>138</v>
      </c>
      <c r="C47" s="82">
        <v>0</v>
      </c>
      <c r="D47" s="5"/>
      <c r="E47" s="5">
        <v>29</v>
      </c>
      <c r="F47" s="12"/>
      <c r="G47" s="13">
        <v>0</v>
      </c>
    </row>
    <row r="48" spans="1:14" x14ac:dyDescent="0.2">
      <c r="A48" s="5">
        <v>30</v>
      </c>
      <c r="B48" s="12"/>
      <c r="C48" s="34"/>
      <c r="D48" s="5"/>
      <c r="E48" s="5">
        <v>30</v>
      </c>
      <c r="F48" s="12"/>
      <c r="G48" s="13">
        <v>0</v>
      </c>
    </row>
    <row r="49" spans="1:8" x14ac:dyDescent="0.2">
      <c r="A49" s="5">
        <v>31</v>
      </c>
      <c r="B49" s="12"/>
      <c r="C49" s="34"/>
      <c r="D49" s="5"/>
      <c r="E49" s="5">
        <v>31</v>
      </c>
      <c r="F49" s="12"/>
      <c r="G49" s="13">
        <v>0</v>
      </c>
    </row>
    <row r="50" spans="1:8" x14ac:dyDescent="0.2">
      <c r="A50" s="5"/>
      <c r="B50" s="5"/>
      <c r="C50" s="9"/>
      <c r="D50" s="5"/>
      <c r="E50" s="5">
        <v>32</v>
      </c>
      <c r="F50" s="12"/>
      <c r="G50" s="13">
        <v>0</v>
      </c>
    </row>
    <row r="51" spans="1:8" x14ac:dyDescent="0.2">
      <c r="A51" s="5"/>
      <c r="B51" s="5" t="s">
        <v>14</v>
      </c>
      <c r="C51" s="9">
        <f>SUM(C43:C49)</f>
        <v>11361020</v>
      </c>
      <c r="D51" s="5"/>
      <c r="E51" s="5">
        <v>33</v>
      </c>
      <c r="F51" s="12"/>
      <c r="G51" s="13">
        <v>0</v>
      </c>
    </row>
    <row r="52" spans="1:8" x14ac:dyDescent="0.2">
      <c r="A52" s="5"/>
      <c r="B52" s="5"/>
      <c r="C52" s="9"/>
      <c r="D52" s="5"/>
      <c r="E52" s="5"/>
      <c r="F52" s="5"/>
      <c r="G52" s="5"/>
    </row>
    <row r="53" spans="1:8" x14ac:dyDescent="0.2">
      <c r="A53" s="1" t="s">
        <v>15</v>
      </c>
      <c r="B53" s="1" t="s">
        <v>126</v>
      </c>
      <c r="C53" s="4">
        <f>SUM(1,(0.5*J2),(0.5*J4),J6)</f>
        <v>1.0099199653091098</v>
      </c>
      <c r="D53" s="5"/>
      <c r="E53" s="5"/>
      <c r="F53" s="5" t="s">
        <v>14</v>
      </c>
      <c r="G53" s="9">
        <f>SUM(G44:G51)</f>
        <v>0</v>
      </c>
    </row>
    <row r="54" spans="1:8" ht="15" x14ac:dyDescent="0.35">
      <c r="A54" s="5">
        <v>32</v>
      </c>
      <c r="B54" s="5" t="s">
        <v>108</v>
      </c>
      <c r="C54" s="96">
        <f>VLOOKUP(Macrogegevens!C2,'Data inkomsten'!A2:O395,11,0)</f>
        <v>352000</v>
      </c>
      <c r="D54" s="5"/>
      <c r="E54" s="5"/>
      <c r="F54" s="5"/>
      <c r="G54" s="5"/>
    </row>
    <row r="55" spans="1:8" ht="15" x14ac:dyDescent="0.35">
      <c r="A55" s="5">
        <v>33</v>
      </c>
      <c r="B55" s="5" t="s">
        <v>168</v>
      </c>
      <c r="C55" s="83">
        <v>0</v>
      </c>
      <c r="D55" s="5"/>
      <c r="E55" s="1" t="s">
        <v>15</v>
      </c>
      <c r="F55" s="1" t="s">
        <v>140</v>
      </c>
      <c r="G55" s="4">
        <f>SUM(1,J2:J3)</f>
        <v>1.0249999999999999</v>
      </c>
    </row>
    <row r="56" spans="1:8" x14ac:dyDescent="0.2">
      <c r="A56" s="5">
        <v>34</v>
      </c>
      <c r="B56" s="5" t="s">
        <v>169</v>
      </c>
      <c r="C56" s="22">
        <f>VLOOKUP(Macrogegevens!C2,'Data inkomsten'!A2:N395,5,0)</f>
        <v>392211.54000000097</v>
      </c>
      <c r="D56" s="5"/>
      <c r="E56" s="5">
        <v>34</v>
      </c>
      <c r="F56" s="12"/>
      <c r="G56" s="13">
        <v>0</v>
      </c>
    </row>
    <row r="57" spans="1:8" x14ac:dyDescent="0.2">
      <c r="A57" s="5">
        <v>35</v>
      </c>
      <c r="B57" s="12"/>
      <c r="C57" s="13">
        <v>0</v>
      </c>
      <c r="D57" s="5"/>
      <c r="E57" s="5">
        <v>35</v>
      </c>
      <c r="F57" s="12"/>
      <c r="G57" s="13">
        <v>0</v>
      </c>
    </row>
    <row r="58" spans="1:8" x14ac:dyDescent="0.2">
      <c r="A58" s="5">
        <v>36</v>
      </c>
      <c r="B58" s="5" t="s">
        <v>672</v>
      </c>
      <c r="C58" s="9">
        <f>SUM(C83,-C6,-C22,-C32,-C40,-C51,-C54,-C55,-C56,-C57,-C66,-C73,-C80)</f>
        <v>-38069895.292033747</v>
      </c>
      <c r="D58" s="5"/>
      <c r="E58" s="5">
        <v>36</v>
      </c>
      <c r="F58" s="12"/>
      <c r="G58" s="13">
        <v>0</v>
      </c>
    </row>
    <row r="59" spans="1:8" x14ac:dyDescent="0.2">
      <c r="A59" s="5"/>
      <c r="B59" s="5"/>
      <c r="C59" s="9"/>
      <c r="D59" s="5"/>
      <c r="E59" s="5"/>
      <c r="F59" s="5"/>
      <c r="G59" s="5"/>
    </row>
    <row r="60" spans="1:8" x14ac:dyDescent="0.2">
      <c r="A60" s="5"/>
      <c r="B60" s="5" t="s">
        <v>17</v>
      </c>
      <c r="C60" s="9">
        <f>SUM(C54:C58)</f>
        <v>-37325683.752033748</v>
      </c>
      <c r="D60" s="5"/>
      <c r="E60" s="5"/>
      <c r="F60" s="5" t="s">
        <v>17</v>
      </c>
      <c r="G60" s="9">
        <f>SUM(G56:G58)</f>
        <v>0</v>
      </c>
      <c r="H60" s="3">
        <f>IF(C60&lt;0,-C60,C60)</f>
        <v>37325683.752033748</v>
      </c>
    </row>
    <row r="61" spans="1:8" x14ac:dyDescent="0.2">
      <c r="A61" s="5"/>
      <c r="B61" s="5"/>
      <c r="C61" s="9"/>
      <c r="D61" s="5"/>
      <c r="E61" s="5"/>
      <c r="F61" s="5"/>
      <c r="G61" s="5"/>
    </row>
    <row r="62" spans="1:8" x14ac:dyDescent="0.2">
      <c r="A62" s="1" t="s">
        <v>16</v>
      </c>
      <c r="B62" s="1" t="s">
        <v>157</v>
      </c>
      <c r="C62" s="4">
        <f>SUM(1,(0.8*J2),(0.2*J4),J6)</f>
        <v>1.0076699653091099</v>
      </c>
      <c r="E62" s="1" t="s">
        <v>21</v>
      </c>
      <c r="F62" s="5"/>
      <c r="G62" s="46">
        <f>SUM((G2*G14),(G16*G20),(G22*G32),(G34*H41),(G43*G53),(G55*G60))/SUM(G14,G20,G32,H41,G53,G60)</f>
        <v>1.0099199653091098</v>
      </c>
    </row>
    <row r="63" spans="1:8" ht="15" x14ac:dyDescent="0.35">
      <c r="A63" s="11">
        <v>37</v>
      </c>
      <c r="B63" s="12"/>
      <c r="C63" s="13">
        <v>0</v>
      </c>
      <c r="E63" s="1" t="s">
        <v>786</v>
      </c>
      <c r="F63" s="5"/>
      <c r="G63" s="28">
        <f>SUM(Balansprognose!G36,'Inkomsten &amp; uitgaven'!G85,'Inkomsten &amp; uitgaven'!G86,'Inkomsten &amp; uitgaven'!G87)</f>
        <v>-3.0906742222222223</v>
      </c>
    </row>
    <row r="64" spans="1:8" x14ac:dyDescent="0.2">
      <c r="A64" s="11">
        <v>38</v>
      </c>
      <c r="B64" s="12"/>
      <c r="C64" s="13">
        <v>0</v>
      </c>
      <c r="E64" s="5"/>
      <c r="F64" s="5"/>
      <c r="G64" s="5"/>
    </row>
    <row r="65" spans="1:7" x14ac:dyDescent="0.2">
      <c r="A65" s="11"/>
      <c r="B65" s="5"/>
      <c r="C65" s="9"/>
      <c r="E65" s="5"/>
      <c r="F65" s="5"/>
      <c r="G65" s="5"/>
    </row>
    <row r="66" spans="1:7" x14ac:dyDescent="0.2">
      <c r="A66" s="11"/>
      <c r="B66" s="5" t="s">
        <v>18</v>
      </c>
      <c r="C66" s="9">
        <f>SUM(C63:C64)</f>
        <v>0</v>
      </c>
      <c r="E66" s="5"/>
      <c r="F66" s="5"/>
      <c r="G66" s="5"/>
    </row>
    <row r="67" spans="1:7" x14ac:dyDescent="0.2">
      <c r="A67" s="11"/>
      <c r="B67" s="5"/>
      <c r="C67" s="9"/>
      <c r="E67" s="5"/>
      <c r="F67" s="5"/>
      <c r="G67" s="5"/>
    </row>
    <row r="68" spans="1:7" x14ac:dyDescent="0.2">
      <c r="A68" s="1" t="s">
        <v>23</v>
      </c>
      <c r="B68" s="1" t="s">
        <v>120</v>
      </c>
      <c r="C68" s="4">
        <f>SUM(1,J2,J8,SUM(-J5,J6))</f>
        <v>1.02656996530911</v>
      </c>
      <c r="E68" s="5"/>
      <c r="F68" s="5"/>
      <c r="G68" s="5"/>
    </row>
    <row r="69" spans="1:7" x14ac:dyDescent="0.2">
      <c r="A69" s="5">
        <v>39</v>
      </c>
      <c r="B69" s="5" t="s">
        <v>105</v>
      </c>
      <c r="C69" s="22">
        <f>VLOOKUP(Macrogegevens!C2,'Data inkomsten'!A2:N395,3,0)</f>
        <v>1261625</v>
      </c>
      <c r="E69" s="5"/>
      <c r="F69" s="5"/>
      <c r="G69" s="5"/>
    </row>
    <row r="70" spans="1:7" x14ac:dyDescent="0.2">
      <c r="A70" s="5">
        <v>40</v>
      </c>
      <c r="B70" s="12"/>
      <c r="C70" s="13">
        <v>0</v>
      </c>
      <c r="E70" s="5"/>
      <c r="F70" s="5"/>
      <c r="G70" s="5"/>
    </row>
    <row r="71" spans="1:7" x14ac:dyDescent="0.2">
      <c r="A71" s="5">
        <v>41</v>
      </c>
      <c r="B71" s="12"/>
      <c r="C71" s="13">
        <v>0</v>
      </c>
      <c r="E71" s="5"/>
      <c r="F71" s="5"/>
      <c r="G71" s="5"/>
    </row>
    <row r="72" spans="1:7" x14ac:dyDescent="0.2">
      <c r="A72" s="5"/>
      <c r="B72" s="5"/>
      <c r="C72" s="9"/>
      <c r="E72" s="5"/>
      <c r="F72" s="5"/>
      <c r="G72" s="5"/>
    </row>
    <row r="73" spans="1:7" x14ac:dyDescent="0.2">
      <c r="A73" s="5"/>
      <c r="B73" s="5" t="s">
        <v>24</v>
      </c>
      <c r="C73" s="9">
        <f>SUM(C69:C71)</f>
        <v>1261625</v>
      </c>
      <c r="E73" s="5"/>
      <c r="F73" s="5"/>
      <c r="G73" s="5"/>
    </row>
    <row r="74" spans="1:7" x14ac:dyDescent="0.2">
      <c r="A74" s="5"/>
      <c r="B74" s="5"/>
      <c r="C74" s="9"/>
      <c r="E74" s="5"/>
      <c r="F74" s="5"/>
      <c r="G74" s="5"/>
    </row>
    <row r="75" spans="1:7" x14ac:dyDescent="0.2">
      <c r="A75" s="1" t="s">
        <v>109</v>
      </c>
      <c r="B75" s="1" t="s">
        <v>121</v>
      </c>
      <c r="C75" s="10">
        <f>SUM(1,J2,J3,J9)</f>
        <v>1.0590909090909091</v>
      </c>
      <c r="E75" s="5"/>
      <c r="F75" s="5"/>
      <c r="G75" s="5"/>
    </row>
    <row r="76" spans="1:7" x14ac:dyDescent="0.2">
      <c r="A76" s="5">
        <v>42</v>
      </c>
      <c r="B76" s="5" t="s">
        <v>96</v>
      </c>
      <c r="C76" s="22">
        <f>VLOOKUP(Macrogegevens!C2,'Data macrogegevens'!A2:AA395,27,0)</f>
        <v>1463869.4</v>
      </c>
    </row>
    <row r="77" spans="1:7" x14ac:dyDescent="0.2">
      <c r="A77" s="5">
        <v>43</v>
      </c>
      <c r="B77" s="5" t="s">
        <v>175</v>
      </c>
      <c r="C77" s="13">
        <f>VLOOKUP(Macrogegevens!C2,'Data inkomsten'!A2:O395,14,0)</f>
        <v>0</v>
      </c>
    </row>
    <row r="78" spans="1:7" x14ac:dyDescent="0.2">
      <c r="A78" s="5">
        <v>44</v>
      </c>
      <c r="B78" s="12"/>
      <c r="C78" s="13">
        <v>0</v>
      </c>
    </row>
    <row r="79" spans="1:7" x14ac:dyDescent="0.2">
      <c r="A79" s="5"/>
      <c r="B79" s="5"/>
      <c r="C79" s="9"/>
    </row>
    <row r="80" spans="1:7" x14ac:dyDescent="0.2">
      <c r="A80" s="5"/>
      <c r="B80" s="5" t="s">
        <v>110</v>
      </c>
      <c r="C80" s="9">
        <f>SUM(C76:C78)</f>
        <v>1463869.4</v>
      </c>
    </row>
    <row r="81" spans="1:7" x14ac:dyDescent="0.2">
      <c r="A81" s="5"/>
      <c r="B81" s="11"/>
      <c r="C81" s="9"/>
    </row>
    <row r="82" spans="1:7" x14ac:dyDescent="0.2">
      <c r="A82" s="1" t="s">
        <v>20</v>
      </c>
      <c r="B82" s="5"/>
      <c r="C82" s="46">
        <f>SUM((C2*C6),(C8*C22),(C24*C32),(C34*C40),(C42*C51),(C53*H60),(C68*C73),(C75*C80))/SUM(C6,C22,C32,C40,C51,H60,C73,C80)</f>
        <v>1.0131482544280779</v>
      </c>
    </row>
    <row r="83" spans="1:7" x14ac:dyDescent="0.2">
      <c r="A83" s="1" t="s">
        <v>787</v>
      </c>
      <c r="B83" s="5"/>
      <c r="C83" s="9">
        <f>SUM(Balansprognose!G35,-C85,-C86,-C87)</f>
        <v>-0.13728000000000007</v>
      </c>
    </row>
    <row r="84" spans="1:7" x14ac:dyDescent="0.2">
      <c r="A84" s="1"/>
      <c r="B84" s="5"/>
      <c r="C84" s="9"/>
    </row>
    <row r="85" spans="1:7" hidden="1" x14ac:dyDescent="0.2">
      <c r="A85" s="2" t="s">
        <v>667</v>
      </c>
      <c r="B85" s="2"/>
      <c r="C85" s="51">
        <f>'Investeringen &amp; financiering'!T54</f>
        <v>0.13728000000000001</v>
      </c>
      <c r="E85" s="2" t="s">
        <v>668</v>
      </c>
      <c r="G85" s="51">
        <f>'Investeringen &amp; financiering'!S54</f>
        <v>-9.0674222222222225E-2</v>
      </c>
    </row>
    <row r="86" spans="1:7" hidden="1" x14ac:dyDescent="0.2">
      <c r="A86" s="2" t="s">
        <v>666</v>
      </c>
      <c r="C86" s="51">
        <f>'Investeringen &amp; financiering'!D7</f>
        <v>1</v>
      </c>
      <c r="E86" s="2" t="s">
        <v>669</v>
      </c>
      <c r="G86" s="51">
        <f>SUM(Balansprognose!C44,Balansprognose!C45)</f>
        <v>-1</v>
      </c>
    </row>
    <row r="87" spans="1:7" hidden="1" x14ac:dyDescent="0.2">
      <c r="A87" s="2" t="s">
        <v>691</v>
      </c>
      <c r="C87" s="14">
        <f>SUM(Balansprognose!C39,Balansprognose!C40)</f>
        <v>0</v>
      </c>
      <c r="E87" s="2" t="s">
        <v>670</v>
      </c>
      <c r="G87" s="51">
        <f>SUM(-Balansprognose!C35,-Balansprognose!C36,-Balansprognose!C37)</f>
        <v>-3</v>
      </c>
    </row>
    <row r="88" spans="1:7" hidden="1" x14ac:dyDescent="0.2">
      <c r="A88" s="2"/>
      <c r="C88" s="14"/>
    </row>
    <row r="89" spans="1:7" hidden="1" x14ac:dyDescent="0.2">
      <c r="A89" s="1" t="s">
        <v>21</v>
      </c>
      <c r="C89" s="46">
        <f>SUM((G2*G14),(G16*G20),(G22*G32),(G34*G41),(G43*G53),(G55*G60))/G63</f>
        <v>1.0099199653091098</v>
      </c>
    </row>
    <row r="90" spans="1:7" hidden="1" x14ac:dyDescent="0.2">
      <c r="A90" s="1" t="s">
        <v>22</v>
      </c>
      <c r="C90" s="130">
        <f>G63</f>
        <v>-3.0906742222222223</v>
      </c>
    </row>
    <row r="91" spans="1:7" hidden="1" x14ac:dyDescent="0.2">
      <c r="C91" s="8"/>
    </row>
    <row r="92" spans="1:7" hidden="1" x14ac:dyDescent="0.2">
      <c r="A92" s="1" t="s">
        <v>822</v>
      </c>
      <c r="C92" s="14">
        <f>SUM(C83,-C9,-C10,-C11,-C12,-C25,-C35,-C47,C55,-C76)</f>
        <v>-9860383.7968965024</v>
      </c>
    </row>
    <row r="93" spans="1:7" hidden="1" x14ac:dyDescent="0.2">
      <c r="A93" s="2" t="s">
        <v>823</v>
      </c>
      <c r="C93" s="14">
        <f>SUM(G63,-G5,-G23,-G24)</f>
        <v>-3.0906742222222223</v>
      </c>
    </row>
    <row r="94" spans="1:7" hidden="1" x14ac:dyDescent="0.2"/>
  </sheetData>
  <sheetProtection password="ABC0" sheet="1" objects="1" scenarios="1" selectLockedCells="1"/>
  <customSheetViews>
    <customSheetView guid="{B41B624D-DA5C-4FA3-85F1-D5B8087B6A65}" topLeftCell="C1">
      <selection activeCell="J15" sqref="J15"/>
      <pageMargins left="0.7" right="0.7" top="0.75" bottom="0.75" header="0.3" footer="0.3"/>
      <pageSetup paperSize="9" orientation="portrait" r:id="rId1"/>
    </customSheetView>
  </customSheetViews>
  <mergeCells count="1">
    <mergeCell ref="A1:B1"/>
  </mergeCells>
  <pageMargins left="0.7" right="0.7" top="0.75" bottom="0.75" header="0.3" footer="0.3"/>
  <pageSetup paperSize="9" orientation="portrait"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475"/>
  <sheetViews>
    <sheetView topLeftCell="S1" workbookViewId="0"/>
  </sheetViews>
  <sheetFormatPr defaultRowHeight="12.75" x14ac:dyDescent="0.2"/>
  <cols>
    <col min="1" max="1" width="28.85546875" bestFit="1" customWidth="1"/>
    <col min="2" max="2" width="14.85546875" bestFit="1" customWidth="1"/>
    <col min="3" max="3" width="22.42578125" bestFit="1" customWidth="1"/>
    <col min="4" max="4" width="23.42578125" bestFit="1" customWidth="1"/>
    <col min="5" max="5" width="15.42578125" style="93" bestFit="1" customWidth="1"/>
    <col min="6" max="6" width="22.28515625" bestFit="1" customWidth="1"/>
    <col min="7" max="7" width="17.7109375" style="93" bestFit="1" customWidth="1"/>
    <col min="8" max="9" width="19.7109375" style="93" bestFit="1" customWidth="1"/>
    <col min="10" max="10" width="20.42578125" style="108" bestFit="1" customWidth="1"/>
    <col min="11" max="11" width="30" style="108" bestFit="1" customWidth="1"/>
    <col min="12" max="12" width="24.7109375" style="108" bestFit="1" customWidth="1"/>
    <col min="13" max="13" width="14.28515625" style="108" bestFit="1" customWidth="1"/>
    <col min="14" max="14" width="11.7109375" style="108" bestFit="1" customWidth="1"/>
    <col min="15" max="15" width="20" style="108" bestFit="1" customWidth="1"/>
    <col min="16" max="16" width="24.28515625" style="108" bestFit="1" customWidth="1"/>
    <col min="17" max="17" width="13.140625" style="156" bestFit="1" customWidth="1"/>
    <col min="18" max="18" width="20" style="122" bestFit="1" customWidth="1"/>
    <col min="19" max="19" width="14.85546875" style="122" bestFit="1" customWidth="1"/>
    <col min="20" max="20" width="18.5703125" style="122" bestFit="1" customWidth="1"/>
    <col min="21" max="21" width="19.28515625" style="122" bestFit="1" customWidth="1"/>
    <col min="22" max="22" width="17.7109375" style="108" bestFit="1" customWidth="1"/>
    <col min="23" max="24" width="15" style="108" bestFit="1" customWidth="1"/>
    <col min="25" max="25" width="13.42578125" style="108" bestFit="1" customWidth="1"/>
    <col min="26" max="26" width="21.5703125" style="108" bestFit="1" customWidth="1"/>
    <col min="27" max="27" width="24.7109375" style="108" bestFit="1" customWidth="1"/>
    <col min="28" max="28" width="14.85546875" style="108" bestFit="1" customWidth="1"/>
    <col min="29" max="29" width="24.7109375" bestFit="1" customWidth="1"/>
  </cols>
  <sheetData>
    <row r="1" spans="1:29" x14ac:dyDescent="0.2">
      <c r="A1" s="104" t="s">
        <v>215</v>
      </c>
      <c r="B1" s="95" t="s">
        <v>622</v>
      </c>
      <c r="C1" s="95" t="s">
        <v>623</v>
      </c>
      <c r="D1" s="95" t="s">
        <v>624</v>
      </c>
      <c r="E1" s="95" t="s">
        <v>641</v>
      </c>
      <c r="F1" s="218" t="s">
        <v>741</v>
      </c>
      <c r="G1" s="107" t="s">
        <v>625</v>
      </c>
      <c r="H1" s="107" t="s">
        <v>764</v>
      </c>
      <c r="I1" s="95" t="s">
        <v>765</v>
      </c>
      <c r="J1" s="95" t="s">
        <v>782</v>
      </c>
      <c r="K1" s="95" t="s">
        <v>766</v>
      </c>
      <c r="L1" s="95" t="s">
        <v>767</v>
      </c>
      <c r="M1" s="95" t="s">
        <v>768</v>
      </c>
      <c r="N1" s="95" t="s">
        <v>769</v>
      </c>
      <c r="O1" s="95" t="s">
        <v>770</v>
      </c>
      <c r="P1" s="95" t="s">
        <v>771</v>
      </c>
      <c r="Q1" s="95" t="s">
        <v>772</v>
      </c>
      <c r="R1" s="155" t="s">
        <v>773</v>
      </c>
      <c r="S1" s="95" t="s">
        <v>774</v>
      </c>
      <c r="T1" s="95" t="s">
        <v>775</v>
      </c>
      <c r="U1" s="95" t="s">
        <v>776</v>
      </c>
      <c r="V1" s="95" t="s">
        <v>777</v>
      </c>
      <c r="W1" s="95" t="s">
        <v>778</v>
      </c>
      <c r="X1" s="95" t="s">
        <v>646</v>
      </c>
      <c r="Y1" s="95" t="s">
        <v>779</v>
      </c>
      <c r="Z1" s="95" t="s">
        <v>802</v>
      </c>
      <c r="AA1" s="95" t="s">
        <v>803</v>
      </c>
      <c r="AB1" s="95" t="s">
        <v>780</v>
      </c>
      <c r="AC1" s="95" t="s">
        <v>781</v>
      </c>
    </row>
    <row r="2" spans="1:29" x14ac:dyDescent="0.2">
      <c r="A2" s="124" t="s">
        <v>216</v>
      </c>
      <c r="B2" s="99">
        <f>SUM(G2,-F2)/(F2*9)</f>
        <v>4.5419869208415464E-4</v>
      </c>
      <c r="C2" t="s">
        <v>228</v>
      </c>
      <c r="D2" s="99">
        <f>SUM(H2,-J2)/(H2*2)</f>
        <v>5.5796316359696639E-2</v>
      </c>
      <c r="E2" s="123">
        <v>50745054</v>
      </c>
      <c r="F2" s="219">
        <v>25197</v>
      </c>
      <c r="G2" s="93">
        <v>25300</v>
      </c>
      <c r="H2" s="93">
        <v>1846</v>
      </c>
      <c r="I2" s="93">
        <v>3695</v>
      </c>
      <c r="J2" s="93">
        <v>1640</v>
      </c>
      <c r="K2" s="108">
        <f>(F2*138.66)*SUM(1,Macrogegevens!$C$4,0.5*Macrogegevens!$C$6,Macrogegevens!$C$8)</f>
        <v>3566138.0116140004</v>
      </c>
      <c r="L2" s="108">
        <f>IF(AC2&gt;0,AC2,0)</f>
        <v>1748883.8999999997</v>
      </c>
      <c r="M2" s="108">
        <v>5562427.2379982555</v>
      </c>
      <c r="N2" s="108">
        <v>3646135.563039802</v>
      </c>
      <c r="O2" s="108">
        <v>0</v>
      </c>
      <c r="P2" s="108">
        <f>SUM(M2,N2,O2)</f>
        <v>9208562.8010380566</v>
      </c>
      <c r="Q2" s="108">
        <v>56386873</v>
      </c>
      <c r="R2" s="155">
        <v>240.85592457849236</v>
      </c>
      <c r="S2" s="122">
        <v>0.10680000000000001</v>
      </c>
      <c r="T2" s="122">
        <v>0.1615</v>
      </c>
      <c r="U2" s="122">
        <v>9.8199999999999996E-2</v>
      </c>
      <c r="V2" s="122" t="s">
        <v>216</v>
      </c>
      <c r="W2" s="108">
        <v>1929600000</v>
      </c>
      <c r="X2" s="108">
        <v>321300000</v>
      </c>
      <c r="Y2" s="108">
        <v>370650000</v>
      </c>
      <c r="Z2" s="108">
        <f>S2/100*W2</f>
        <v>2060812.8000000003</v>
      </c>
      <c r="AA2" s="108">
        <f>SUM(T2/100*X2,U2/100*Y2)</f>
        <v>882877.8</v>
      </c>
      <c r="AB2" s="108">
        <f>(0.179/100)*SUM(W2,X2,Y2)</f>
        <v>4692574.5</v>
      </c>
      <c r="AC2" s="108">
        <f>SUM(AB2,-Z2,-AA2)</f>
        <v>1748883.8999999997</v>
      </c>
    </row>
    <row r="3" spans="1:29" x14ac:dyDescent="0.2">
      <c r="A3" s="124" t="s">
        <v>509</v>
      </c>
      <c r="B3" s="99">
        <f t="shared" ref="B3:B64" si="0">SUM(G3,-F3)/(F3*9)</f>
        <v>-4.4637097814588331E-3</v>
      </c>
      <c r="C3" t="s">
        <v>689</v>
      </c>
      <c r="D3" s="99">
        <f t="shared" ref="D3:D64" si="1">SUM(H3,-J3)/(H3*2)</f>
        <v>4.7227036395147311E-2</v>
      </c>
      <c r="E3" s="123">
        <v>21689881</v>
      </c>
      <c r="F3" s="219">
        <v>12919</v>
      </c>
      <c r="G3" s="93">
        <v>12400</v>
      </c>
      <c r="H3" s="93">
        <v>1154</v>
      </c>
      <c r="I3" s="93">
        <v>2930</v>
      </c>
      <c r="J3" s="93">
        <v>1045</v>
      </c>
      <c r="K3" s="108">
        <f>(F3*138.66)*SUM(1,Macrogegevens!$C$4,0.5*Macrogegevens!$C$6,Macrogegevens!$C$8)</f>
        <v>1828429.4547780002</v>
      </c>
      <c r="L3" s="108">
        <f>IF(AC3&gt;0,AC3,0)</f>
        <v>686849.45000000007</v>
      </c>
      <c r="M3" s="108">
        <v>2206977.3200293835</v>
      </c>
      <c r="N3" s="108">
        <v>1399092.7992834668</v>
      </c>
      <c r="O3" s="108">
        <v>0</v>
      </c>
      <c r="P3" s="108">
        <f t="shared" ref="P3:P64" si="2">SUM(M3,N3,O3)</f>
        <v>3606070.1193128503</v>
      </c>
      <c r="Q3" s="108">
        <v>23215683</v>
      </c>
      <c r="R3" s="155">
        <v>710.0840336134454</v>
      </c>
      <c r="S3" s="122">
        <v>0.1153</v>
      </c>
      <c r="T3" s="122">
        <v>0.17849999999999999</v>
      </c>
      <c r="U3" s="122">
        <v>0.1239</v>
      </c>
      <c r="V3" s="122" t="s">
        <v>509</v>
      </c>
      <c r="W3" s="108">
        <v>924400000</v>
      </c>
      <c r="X3" s="108">
        <v>162050000</v>
      </c>
      <c r="Y3" s="108">
        <v>176400000</v>
      </c>
      <c r="Z3" s="108">
        <f t="shared" ref="Z3:Z64" si="3">S3/100*W3</f>
        <v>1065833.2</v>
      </c>
      <c r="AA3" s="108">
        <f t="shared" ref="AA3:AA64" si="4">SUM(T3/100*X3,U3/100*Y3)</f>
        <v>507818.85</v>
      </c>
      <c r="AB3" s="108">
        <f t="shared" ref="AB3:AB64" si="5">(0.179/100)*SUM(W3,X3,Y3)</f>
        <v>2260501.5</v>
      </c>
      <c r="AC3" s="108">
        <f t="shared" ref="AC3:AC64" si="6">SUM(AB3,-Z3,-AA3)</f>
        <v>686849.45000000007</v>
      </c>
    </row>
    <row r="4" spans="1:29" x14ac:dyDescent="0.2">
      <c r="A4" s="124" t="s">
        <v>380</v>
      </c>
      <c r="B4" s="99">
        <f t="shared" si="0"/>
        <v>2.9461821198209408E-3</v>
      </c>
      <c r="C4" t="s">
        <v>689</v>
      </c>
      <c r="D4" s="99">
        <f t="shared" si="1"/>
        <v>1.9557823129251702E-2</v>
      </c>
      <c r="E4" s="123">
        <v>61227000</v>
      </c>
      <c r="F4" s="219">
        <v>31076</v>
      </c>
      <c r="G4" s="93">
        <v>31900</v>
      </c>
      <c r="H4" s="93">
        <v>2352</v>
      </c>
      <c r="I4" s="93">
        <v>6350</v>
      </c>
      <c r="J4" s="93">
        <v>2260</v>
      </c>
      <c r="K4" s="108">
        <f>(F4*138.66)*SUM(1,Macrogegevens!$C$4,0.5*Macrogegevens!$C$6,Macrogegevens!$C$8)</f>
        <v>4398194.4219120005</v>
      </c>
      <c r="L4" s="108">
        <f t="shared" ref="L4:L65" si="7">IF(AC4&gt;0,AC4,0)</f>
        <v>1793413.7000000002</v>
      </c>
      <c r="M4" s="108">
        <v>4375046.6190260006</v>
      </c>
      <c r="N4" s="108">
        <v>2591713.9561808337</v>
      </c>
      <c r="O4" s="108">
        <v>0</v>
      </c>
      <c r="P4" s="108">
        <f t="shared" si="2"/>
        <v>6966760.5752068348</v>
      </c>
      <c r="Q4" s="108">
        <v>61430000</v>
      </c>
      <c r="R4" s="155">
        <v>338.43834583890089</v>
      </c>
      <c r="S4" s="122">
        <v>0.12039999999999999</v>
      </c>
      <c r="T4" s="122">
        <v>0.182</v>
      </c>
      <c r="U4" s="122">
        <v>0.152</v>
      </c>
      <c r="V4" s="122" t="s">
        <v>380</v>
      </c>
      <c r="W4" s="108">
        <v>2745200000</v>
      </c>
      <c r="X4" s="108">
        <v>759850000</v>
      </c>
      <c r="Y4" s="108">
        <v>768600000</v>
      </c>
      <c r="Z4" s="108">
        <f t="shared" si="3"/>
        <v>3305220.8</v>
      </c>
      <c r="AA4" s="108">
        <f t="shared" si="4"/>
        <v>2551199</v>
      </c>
      <c r="AB4" s="108">
        <f t="shared" si="5"/>
        <v>7649833.5</v>
      </c>
      <c r="AC4" s="108">
        <f t="shared" si="6"/>
        <v>1793413.7000000002</v>
      </c>
    </row>
    <row r="5" spans="1:29" x14ac:dyDescent="0.2">
      <c r="A5" s="124" t="s">
        <v>298</v>
      </c>
      <c r="B5" s="99">
        <f t="shared" si="0"/>
        <v>2.8786545903596045E-3</v>
      </c>
      <c r="C5" t="s">
        <v>228</v>
      </c>
      <c r="D5" s="99">
        <f t="shared" si="1"/>
        <v>6.1224489795918366E-2</v>
      </c>
      <c r="E5" s="123">
        <v>77760000</v>
      </c>
      <c r="F5" s="219">
        <v>26903</v>
      </c>
      <c r="G5" s="93">
        <v>27600</v>
      </c>
      <c r="H5" s="93">
        <v>1715</v>
      </c>
      <c r="I5" s="93">
        <v>3555</v>
      </c>
      <c r="J5" s="93">
        <v>1505</v>
      </c>
      <c r="K5" s="108">
        <f>(F5*138.66)*SUM(1,Macrogegevens!$C$4,0.5*Macrogegevens!$C$6,Macrogegevens!$C$8)</f>
        <v>3807588.6385860005</v>
      </c>
      <c r="L5" s="108">
        <f t="shared" si="7"/>
        <v>1454840.7999999998</v>
      </c>
      <c r="M5" s="108">
        <v>4119313.9299685606</v>
      </c>
      <c r="N5" s="108">
        <v>3939026.4744557682</v>
      </c>
      <c r="O5" s="108">
        <v>0</v>
      </c>
      <c r="P5" s="108">
        <f t="shared" si="2"/>
        <v>8058340.4044243284</v>
      </c>
      <c r="Q5" s="108">
        <v>79781000</v>
      </c>
      <c r="R5" s="155">
        <v>666.65454545454543</v>
      </c>
      <c r="S5" s="122">
        <v>0.1152</v>
      </c>
      <c r="T5" s="122">
        <v>0.15529999999999999</v>
      </c>
      <c r="U5" s="122">
        <v>0.11609999999999999</v>
      </c>
      <c r="V5" s="122" t="s">
        <v>298</v>
      </c>
      <c r="W5" s="108">
        <v>1769600000</v>
      </c>
      <c r="X5" s="108">
        <v>354900000</v>
      </c>
      <c r="Y5" s="108">
        <v>384300000</v>
      </c>
      <c r="Z5" s="108">
        <f t="shared" si="3"/>
        <v>2038579.2</v>
      </c>
      <c r="AA5" s="108">
        <f t="shared" si="4"/>
        <v>997332</v>
      </c>
      <c r="AB5" s="108">
        <f t="shared" si="5"/>
        <v>4490752</v>
      </c>
      <c r="AC5" s="108">
        <f t="shared" si="6"/>
        <v>1454840.7999999998</v>
      </c>
    </row>
    <row r="6" spans="1:29" x14ac:dyDescent="0.2">
      <c r="A6" s="124" t="s">
        <v>252</v>
      </c>
      <c r="B6" s="99">
        <f t="shared" si="0"/>
        <v>1.2948531572968551E-3</v>
      </c>
      <c r="C6" t="s">
        <v>228</v>
      </c>
      <c r="D6" s="99">
        <f t="shared" si="1"/>
        <v>7.5172048703017469E-2</v>
      </c>
      <c r="E6" s="123">
        <v>69615123</v>
      </c>
      <c r="F6" s="219">
        <v>27974</v>
      </c>
      <c r="G6" s="93">
        <v>28300</v>
      </c>
      <c r="H6" s="93">
        <v>1889</v>
      </c>
      <c r="I6" s="93">
        <v>4235</v>
      </c>
      <c r="J6" s="93">
        <v>1605</v>
      </c>
      <c r="K6" s="108">
        <f>(F6*138.66)*SUM(1,Macrogegevens!$C$4,0.5*Macrogegevens!$C$6,Macrogegevens!$C$8)</f>
        <v>3959167.5491880006</v>
      </c>
      <c r="L6" s="108">
        <f t="shared" si="7"/>
        <v>0</v>
      </c>
      <c r="M6" s="108">
        <v>6547636.0473430809</v>
      </c>
      <c r="N6" s="108">
        <v>4712318.7020943398</v>
      </c>
      <c r="O6" s="108">
        <v>0</v>
      </c>
      <c r="P6" s="108">
        <f t="shared" si="2"/>
        <v>11259954.749437422</v>
      </c>
      <c r="Q6" s="108">
        <v>70027811</v>
      </c>
      <c r="R6" s="155">
        <v>1914.8746795784677</v>
      </c>
      <c r="S6" s="122">
        <v>0.1696</v>
      </c>
      <c r="T6" s="122">
        <v>0.2505</v>
      </c>
      <c r="U6" s="122">
        <v>0.20039999999999999</v>
      </c>
      <c r="V6" s="122" t="s">
        <v>252</v>
      </c>
      <c r="W6" s="108">
        <v>1514800000</v>
      </c>
      <c r="X6" s="108">
        <v>278250000</v>
      </c>
      <c r="Y6" s="108">
        <v>317450000</v>
      </c>
      <c r="Z6" s="108">
        <f t="shared" si="3"/>
        <v>2569100.7999999998</v>
      </c>
      <c r="AA6" s="108">
        <f t="shared" si="4"/>
        <v>1333186.05</v>
      </c>
      <c r="AB6" s="108">
        <f t="shared" si="5"/>
        <v>3777795</v>
      </c>
      <c r="AC6" s="108">
        <f t="shared" si="6"/>
        <v>-124491.84999999986</v>
      </c>
    </row>
    <row r="7" spans="1:29" x14ac:dyDescent="0.2">
      <c r="A7" s="124" t="s">
        <v>432</v>
      </c>
      <c r="B7" s="99">
        <f t="shared" si="0"/>
        <v>8.7063632037177006E-3</v>
      </c>
      <c r="C7" t="s">
        <v>689</v>
      </c>
      <c r="D7" s="99">
        <f t="shared" si="1"/>
        <v>3.1990521327014215E-2</v>
      </c>
      <c r="E7" s="123">
        <v>39199000</v>
      </c>
      <c r="F7" s="219">
        <v>19845</v>
      </c>
      <c r="G7" s="93">
        <v>21400</v>
      </c>
      <c r="H7" s="93">
        <v>1266</v>
      </c>
      <c r="I7" s="93">
        <v>3270</v>
      </c>
      <c r="J7" s="93">
        <v>1185</v>
      </c>
      <c r="K7" s="108">
        <f>(F7*138.66)*SUM(1,Macrogegevens!$C$4,0.5*Macrogegevens!$C$6,Macrogegevens!$C$8)</f>
        <v>2808668.0493900003</v>
      </c>
      <c r="L7" s="108">
        <f t="shared" si="7"/>
        <v>241412.69999999995</v>
      </c>
      <c r="M7" s="108">
        <v>3968702.9487439217</v>
      </c>
      <c r="N7" s="108">
        <v>2817771.3321743091</v>
      </c>
      <c r="O7" s="108">
        <v>0</v>
      </c>
      <c r="P7" s="108">
        <f t="shared" si="2"/>
        <v>6786474.2809182312</v>
      </c>
      <c r="Q7" s="108">
        <v>40603000</v>
      </c>
      <c r="R7" s="155">
        <v>2194.3830861470497</v>
      </c>
      <c r="S7" s="122">
        <v>0.13189999999999999</v>
      </c>
      <c r="T7" s="122">
        <v>0.25990000000000002</v>
      </c>
      <c r="U7" s="122">
        <v>0.1958</v>
      </c>
      <c r="V7" s="122" t="s">
        <v>432</v>
      </c>
      <c r="W7" s="108">
        <v>1249600000</v>
      </c>
      <c r="X7" s="108">
        <v>354900000</v>
      </c>
      <c r="Y7" s="108">
        <v>357350000</v>
      </c>
      <c r="Z7" s="108">
        <f t="shared" si="3"/>
        <v>1648222.4</v>
      </c>
      <c r="AA7" s="108">
        <f t="shared" si="4"/>
        <v>1622076.4000000001</v>
      </c>
      <c r="AB7" s="108">
        <f t="shared" si="5"/>
        <v>3511711.5</v>
      </c>
      <c r="AC7" s="108">
        <f t="shared" si="6"/>
        <v>241412.69999999995</v>
      </c>
    </row>
    <row r="8" spans="1:29" x14ac:dyDescent="0.2">
      <c r="A8" s="124" t="s">
        <v>433</v>
      </c>
      <c r="B8" s="99">
        <f t="shared" si="0"/>
        <v>7.3131393473409778E-3</v>
      </c>
      <c r="C8" t="s">
        <v>689</v>
      </c>
      <c r="D8" s="99">
        <f t="shared" si="1"/>
        <v>5.1148225469728602E-2</v>
      </c>
      <c r="E8" s="123">
        <v>48370570</v>
      </c>
      <c r="F8" s="219">
        <v>25145</v>
      </c>
      <c r="G8" s="93">
        <v>26800</v>
      </c>
      <c r="H8" s="93">
        <v>1437</v>
      </c>
      <c r="I8" s="93">
        <v>3500</v>
      </c>
      <c r="J8" s="93">
        <v>1290</v>
      </c>
      <c r="K8" s="108">
        <f>(F8*138.66)*SUM(1,Macrogegevens!$C$4,0.5*Macrogegevens!$C$6,Macrogegevens!$C$8)</f>
        <v>3558778.4379900005</v>
      </c>
      <c r="L8" s="108">
        <f t="shared" si="7"/>
        <v>176600.60000000009</v>
      </c>
      <c r="M8" s="108">
        <v>4181309.2738584438</v>
      </c>
      <c r="N8" s="108">
        <v>1780065.7579490417</v>
      </c>
      <c r="O8" s="108">
        <v>0</v>
      </c>
      <c r="P8" s="108">
        <f t="shared" si="2"/>
        <v>5961375.031807486</v>
      </c>
      <c r="Q8" s="108">
        <v>50799168</v>
      </c>
      <c r="R8" s="155">
        <v>1518.8293166880244</v>
      </c>
      <c r="S8" s="122">
        <v>0.1303</v>
      </c>
      <c r="T8" s="122">
        <v>0.32340000000000002</v>
      </c>
      <c r="U8" s="122">
        <v>0.25900000000000001</v>
      </c>
      <c r="V8" s="122" t="s">
        <v>433</v>
      </c>
      <c r="W8" s="108">
        <v>2008400000</v>
      </c>
      <c r="X8" s="108">
        <v>354550000</v>
      </c>
      <c r="Y8" s="108">
        <v>361900000</v>
      </c>
      <c r="Z8" s="108">
        <f t="shared" si="3"/>
        <v>2616945.1999999997</v>
      </c>
      <c r="AA8" s="108">
        <f t="shared" si="4"/>
        <v>2083935.7000000002</v>
      </c>
      <c r="AB8" s="108">
        <f t="shared" si="5"/>
        <v>4877481.5</v>
      </c>
      <c r="AC8" s="108">
        <f t="shared" si="6"/>
        <v>176600.60000000009</v>
      </c>
    </row>
    <row r="9" spans="1:29" x14ac:dyDescent="0.2">
      <c r="A9" s="124" t="s">
        <v>381</v>
      </c>
      <c r="B9" s="99">
        <v>1.1097628011657696E-3</v>
      </c>
      <c r="C9" t="s">
        <v>621</v>
      </c>
      <c r="D9" s="99">
        <v>9.4807715637510614E-2</v>
      </c>
      <c r="E9" s="123">
        <v>306014912</v>
      </c>
      <c r="F9" s="93">
        <v>107130</v>
      </c>
      <c r="G9" s="93">
        <v>108200</v>
      </c>
      <c r="H9" s="93">
        <v>8243</v>
      </c>
      <c r="I9" s="93">
        <v>16095</v>
      </c>
      <c r="J9" s="108">
        <v>6680</v>
      </c>
      <c r="K9" s="108">
        <v>15162136.968060002</v>
      </c>
      <c r="L9" s="108">
        <v>5199596.5</v>
      </c>
      <c r="M9" s="108">
        <v>24172621.328211635</v>
      </c>
      <c r="N9" s="108">
        <v>13889244.61049027</v>
      </c>
      <c r="O9" s="108">
        <v>18911866.790958051</v>
      </c>
      <c r="P9" s="108">
        <v>56973732.72965996</v>
      </c>
      <c r="Q9" s="108">
        <v>311621295</v>
      </c>
      <c r="R9" s="155">
        <v>1968</v>
      </c>
      <c r="S9" s="122">
        <v>0.10199999999999999</v>
      </c>
      <c r="T9" s="122">
        <v>0.215</v>
      </c>
      <c r="U9" s="122">
        <v>0.16600000000000001</v>
      </c>
      <c r="V9" s="122" t="s">
        <v>381</v>
      </c>
      <c r="W9" s="108">
        <v>7410800000</v>
      </c>
      <c r="X9" s="108">
        <v>2233000000</v>
      </c>
      <c r="Y9" s="108">
        <v>2285850000</v>
      </c>
      <c r="Z9" s="108">
        <v>7559015.9999999991</v>
      </c>
      <c r="AA9" s="108">
        <v>8595461</v>
      </c>
      <c r="AB9" s="108">
        <v>21354073.5</v>
      </c>
      <c r="AC9" s="108">
        <v>5199596.5</v>
      </c>
    </row>
    <row r="10" spans="1:29" x14ac:dyDescent="0.2">
      <c r="A10" s="124" t="s">
        <v>274</v>
      </c>
      <c r="B10" s="99">
        <f t="shared" si="0"/>
        <v>5.3546597832015794E-3</v>
      </c>
      <c r="C10" t="s">
        <v>621</v>
      </c>
      <c r="D10" s="99">
        <f t="shared" si="1"/>
        <v>7.1982281284606866E-3</v>
      </c>
      <c r="E10" s="123">
        <v>270851000</v>
      </c>
      <c r="F10" s="219">
        <v>72315</v>
      </c>
      <c r="G10" s="93">
        <v>75800</v>
      </c>
      <c r="H10" s="93">
        <v>3612</v>
      </c>
      <c r="I10" s="93">
        <v>9555</v>
      </c>
      <c r="J10" s="93">
        <v>3560</v>
      </c>
      <c r="K10" s="108">
        <f>(F10*138.66)*SUM(1,Macrogegevens!$C$4,0.5*Macrogegevens!$C$6,Macrogegevens!$C$8)</f>
        <v>10234760.896530002</v>
      </c>
      <c r="L10" s="108">
        <f t="shared" si="7"/>
        <v>0</v>
      </c>
      <c r="M10" s="108">
        <v>24030377.173065893</v>
      </c>
      <c r="N10" s="108">
        <v>15660292.761728095</v>
      </c>
      <c r="O10" s="108">
        <v>15002587.976993803</v>
      </c>
      <c r="P10" s="108">
        <f t="shared" si="2"/>
        <v>54693257.911787793</v>
      </c>
      <c r="Q10" s="108">
        <v>270303000</v>
      </c>
      <c r="R10" s="155">
        <v>3777.981322828572</v>
      </c>
      <c r="S10" s="122">
        <v>0.157</v>
      </c>
      <c r="T10" s="122">
        <v>0.31809999999999999</v>
      </c>
      <c r="U10" s="122">
        <v>0.25269999999999998</v>
      </c>
      <c r="V10" s="122" t="s">
        <v>274</v>
      </c>
      <c r="W10" s="108">
        <v>3926800000</v>
      </c>
      <c r="X10" s="108">
        <v>1239350000</v>
      </c>
      <c r="Y10" s="108">
        <v>1266300000</v>
      </c>
      <c r="Z10" s="108">
        <f t="shared" si="3"/>
        <v>6165076</v>
      </c>
      <c r="AA10" s="108">
        <f t="shared" si="4"/>
        <v>7142312.4499999993</v>
      </c>
      <c r="AB10" s="108">
        <f t="shared" si="5"/>
        <v>11514085.5</v>
      </c>
      <c r="AC10" s="108">
        <f t="shared" si="6"/>
        <v>-1793302.9499999993</v>
      </c>
    </row>
    <row r="11" spans="1:29" x14ac:dyDescent="0.2">
      <c r="A11" s="124" t="s">
        <v>606</v>
      </c>
      <c r="B11" s="99">
        <f t="shared" si="0"/>
        <v>2.3224691157420572E-2</v>
      </c>
      <c r="C11" t="s">
        <v>621</v>
      </c>
      <c r="D11" s="99">
        <f t="shared" si="1"/>
        <v>3.6683136011932509E-2</v>
      </c>
      <c r="E11" s="123">
        <v>638400000</v>
      </c>
      <c r="F11" s="219">
        <v>196936</v>
      </c>
      <c r="G11" s="93">
        <v>238100</v>
      </c>
      <c r="H11" s="93">
        <v>10727</v>
      </c>
      <c r="I11" s="93">
        <v>25060</v>
      </c>
      <c r="J11" s="93">
        <v>9940</v>
      </c>
      <c r="K11" s="108">
        <f>(F11*138.66)*SUM(1,Macrogegevens!$C$4,0.5*Macrogegevens!$C$6,Macrogegevens!$C$8)</f>
        <v>27872403.677232001</v>
      </c>
      <c r="L11" s="108">
        <f t="shared" si="7"/>
        <v>997749.95000000112</v>
      </c>
      <c r="M11" s="108">
        <v>65687421.519657753</v>
      </c>
      <c r="N11" s="108">
        <v>15778924.082986956</v>
      </c>
      <c r="O11" s="108">
        <v>40879548.054684557</v>
      </c>
      <c r="P11" s="108">
        <f t="shared" si="2"/>
        <v>122345893.65732926</v>
      </c>
      <c r="Q11" s="108">
        <v>633800000</v>
      </c>
      <c r="R11" s="155">
        <v>2891.1033163265306</v>
      </c>
      <c r="S11" s="122">
        <v>0.14369999999999999</v>
      </c>
      <c r="T11" s="122">
        <v>0.26440000000000002</v>
      </c>
      <c r="U11" s="122">
        <v>0.21249999999999999</v>
      </c>
      <c r="V11" s="122" t="s">
        <v>606</v>
      </c>
      <c r="W11" s="108">
        <v>11616400000</v>
      </c>
      <c r="X11" s="108">
        <v>2604000000</v>
      </c>
      <c r="Y11" s="108">
        <v>2623950000</v>
      </c>
      <c r="Z11" s="108">
        <f t="shared" si="3"/>
        <v>16692766.799999999</v>
      </c>
      <c r="AA11" s="108">
        <f t="shared" si="4"/>
        <v>12460869.75</v>
      </c>
      <c r="AB11" s="108">
        <f t="shared" si="5"/>
        <v>30151386.5</v>
      </c>
      <c r="AC11" s="108">
        <f t="shared" si="6"/>
        <v>997749.95000000112</v>
      </c>
    </row>
    <row r="12" spans="1:29" x14ac:dyDescent="0.2">
      <c r="A12" s="124" t="s">
        <v>434</v>
      </c>
      <c r="B12" s="99">
        <f t="shared" si="0"/>
        <v>2.3720779630543426E-3</v>
      </c>
      <c r="C12" t="s">
        <v>228</v>
      </c>
      <c r="D12" s="99">
        <f t="shared" si="1"/>
        <v>1.7739907808353123E-2</v>
      </c>
      <c r="E12" s="123">
        <v>277725931</v>
      </c>
      <c r="F12" s="219">
        <v>107407</v>
      </c>
      <c r="G12" s="93">
        <v>109700</v>
      </c>
      <c r="H12" s="93">
        <v>7159</v>
      </c>
      <c r="I12" s="93">
        <v>16545</v>
      </c>
      <c r="J12" s="93">
        <v>6905</v>
      </c>
      <c r="K12" s="108">
        <f>(F12*138.66)*SUM(1,Macrogegevens!$C$4,0.5*Macrogegevens!$C$6,Macrogegevens!$C$8)</f>
        <v>15201340.850634001</v>
      </c>
      <c r="L12" s="108">
        <f t="shared" si="7"/>
        <v>5398179.1000000015</v>
      </c>
      <c r="M12" s="108">
        <v>26836935.737357207</v>
      </c>
      <c r="N12" s="108">
        <v>10545844.080139263</v>
      </c>
      <c r="O12" s="108">
        <v>0</v>
      </c>
      <c r="P12" s="108">
        <f t="shared" si="2"/>
        <v>37382779.817496471</v>
      </c>
      <c r="Q12" s="108">
        <v>318438690</v>
      </c>
      <c r="R12" s="161">
        <v>123.83795951813582</v>
      </c>
      <c r="S12" s="122">
        <v>0.11749999999999999</v>
      </c>
      <c r="T12" s="122">
        <v>0.17660000000000001</v>
      </c>
      <c r="U12" s="122">
        <v>0.14910000000000001</v>
      </c>
      <c r="V12" s="122" t="s">
        <v>434</v>
      </c>
      <c r="W12" s="108">
        <v>7862800000</v>
      </c>
      <c r="X12" s="108">
        <v>1681400000</v>
      </c>
      <c r="Y12" s="108">
        <v>1746500000</v>
      </c>
      <c r="Z12" s="108">
        <f t="shared" si="3"/>
        <v>9238789.9999999981</v>
      </c>
      <c r="AA12" s="108">
        <f t="shared" si="4"/>
        <v>5573383.9000000004</v>
      </c>
      <c r="AB12" s="108">
        <f t="shared" si="5"/>
        <v>20210353</v>
      </c>
      <c r="AC12" s="108">
        <f t="shared" si="6"/>
        <v>5398179.1000000015</v>
      </c>
    </row>
    <row r="13" spans="1:29" x14ac:dyDescent="0.2">
      <c r="A13" s="124" t="s">
        <v>510</v>
      </c>
      <c r="B13" s="99">
        <f t="shared" si="0"/>
        <v>-5.1716674640603288E-3</v>
      </c>
      <c r="C13" t="s">
        <v>689</v>
      </c>
      <c r="D13" s="99">
        <f t="shared" si="1"/>
        <v>7.1280991735537189E-2</v>
      </c>
      <c r="E13" s="123">
        <v>17811577</v>
      </c>
      <c r="F13" s="219">
        <v>9754</v>
      </c>
      <c r="G13" s="93">
        <v>9300</v>
      </c>
      <c r="H13" s="93">
        <v>968</v>
      </c>
      <c r="I13" s="93">
        <v>1930</v>
      </c>
      <c r="J13" s="93">
        <v>830</v>
      </c>
      <c r="K13" s="108">
        <f>(F13*138.66)*SUM(1,Macrogegevens!$C$4,0.5*Macrogegevens!$C$6,Macrogegevens!$C$8)</f>
        <v>1380486.175548</v>
      </c>
      <c r="L13" s="108">
        <f t="shared" si="7"/>
        <v>918152.10000000009</v>
      </c>
      <c r="M13" s="108">
        <v>1323153.7186022552</v>
      </c>
      <c r="N13" s="108">
        <v>1184164.3313184017</v>
      </c>
      <c r="O13" s="108">
        <v>0</v>
      </c>
      <c r="P13" s="108">
        <f t="shared" si="2"/>
        <v>2507318.0499206567</v>
      </c>
      <c r="Q13" s="108">
        <v>18033662</v>
      </c>
      <c r="R13" s="155">
        <v>925.60406952098344</v>
      </c>
      <c r="S13" s="122">
        <v>0.10299999999999999</v>
      </c>
      <c r="T13" s="122">
        <v>0.13039999999999999</v>
      </c>
      <c r="U13" s="122">
        <v>9.5200000000000007E-2</v>
      </c>
      <c r="V13" s="122" t="s">
        <v>510</v>
      </c>
      <c r="W13" s="108">
        <v>838400000</v>
      </c>
      <c r="X13" s="108">
        <v>185850000</v>
      </c>
      <c r="Y13" s="108">
        <v>227500000</v>
      </c>
      <c r="Z13" s="108">
        <f t="shared" si="3"/>
        <v>863551.99999999988</v>
      </c>
      <c r="AA13" s="108">
        <f t="shared" si="4"/>
        <v>458928.39999999997</v>
      </c>
      <c r="AB13" s="108">
        <f t="shared" si="5"/>
        <v>2240632.5</v>
      </c>
      <c r="AC13" s="108">
        <f t="shared" si="6"/>
        <v>918152.10000000009</v>
      </c>
    </row>
    <row r="14" spans="1:29" x14ac:dyDescent="0.2">
      <c r="A14" s="124" t="s">
        <v>253</v>
      </c>
      <c r="B14" s="99">
        <f t="shared" si="0"/>
        <v>3.3726291036232556E-3</v>
      </c>
      <c r="C14" t="s">
        <v>689</v>
      </c>
      <c r="D14" s="99">
        <f t="shared" si="1"/>
        <v>9.8825831702544026E-2</v>
      </c>
      <c r="E14" s="123">
        <v>17871684</v>
      </c>
      <c r="F14" s="219">
        <v>3591</v>
      </c>
      <c r="G14" s="93">
        <v>3700</v>
      </c>
      <c r="H14" s="93">
        <v>511</v>
      </c>
      <c r="I14" s="93">
        <v>1115</v>
      </c>
      <c r="J14" s="93">
        <v>410</v>
      </c>
      <c r="K14" s="108">
        <f>(F14*138.66)*SUM(1,Macrogegevens!$C$4,0.5*Macrogegevens!$C$6,Macrogegevens!$C$8)</f>
        <v>508235.17084200005</v>
      </c>
      <c r="L14" s="108">
        <f t="shared" si="7"/>
        <v>773713</v>
      </c>
      <c r="M14" s="108">
        <v>250971.36276085477</v>
      </c>
      <c r="N14" s="108">
        <v>247913.00143428607</v>
      </c>
      <c r="O14" s="108">
        <v>0</v>
      </c>
      <c r="P14" s="108">
        <f t="shared" si="2"/>
        <v>498884.36419514084</v>
      </c>
      <c r="Q14" s="108">
        <v>17511762</v>
      </c>
      <c r="R14" s="155">
        <v>5284.7757783490433</v>
      </c>
      <c r="S14" s="122">
        <v>8.1900000000000001E-2</v>
      </c>
      <c r="T14" s="122">
        <v>0.1162</v>
      </c>
      <c r="U14" s="122">
        <v>9.2999999999999999E-2</v>
      </c>
      <c r="V14" s="122" t="s">
        <v>253</v>
      </c>
      <c r="W14" s="108">
        <v>590000000</v>
      </c>
      <c r="X14" s="108">
        <v>129499999.99999999</v>
      </c>
      <c r="Y14" s="108">
        <v>138950000</v>
      </c>
      <c r="Z14" s="108">
        <f t="shared" si="3"/>
        <v>483210</v>
      </c>
      <c r="AA14" s="108">
        <f t="shared" si="4"/>
        <v>279702.5</v>
      </c>
      <c r="AB14" s="108">
        <f t="shared" si="5"/>
        <v>1536625.5</v>
      </c>
      <c r="AC14" s="108">
        <f t="shared" si="6"/>
        <v>773713</v>
      </c>
    </row>
    <row r="15" spans="1:29" x14ac:dyDescent="0.2">
      <c r="A15" s="124" t="s">
        <v>354</v>
      </c>
      <c r="B15" s="99">
        <f t="shared" si="0"/>
        <v>9.1390091390091393E-3</v>
      </c>
      <c r="C15" t="s">
        <v>621</v>
      </c>
      <c r="D15" s="99">
        <f t="shared" si="1"/>
        <v>4.133720348313482E-2</v>
      </c>
      <c r="E15" s="123">
        <v>410324000</v>
      </c>
      <c r="F15" s="219">
        <v>152460</v>
      </c>
      <c r="G15" s="93">
        <v>165000</v>
      </c>
      <c r="H15" s="93">
        <v>9991</v>
      </c>
      <c r="I15" s="93">
        <v>22645</v>
      </c>
      <c r="J15" s="93">
        <v>9165</v>
      </c>
      <c r="K15" s="108">
        <f>(F15*138.66)*SUM(1,Macrogegevens!$C$4,0.5*Macrogegevens!$C$6,Macrogegevens!$C$8)</f>
        <v>21577703.744520001</v>
      </c>
      <c r="L15" s="108">
        <f t="shared" si="7"/>
        <v>3973657.3000000007</v>
      </c>
      <c r="M15" s="108">
        <v>41371013.065506004</v>
      </c>
      <c r="N15" s="108">
        <v>16356214.407514174</v>
      </c>
      <c r="O15" s="108">
        <v>31324750.952562742</v>
      </c>
      <c r="P15" s="108">
        <f t="shared" si="2"/>
        <v>89051978.425582916</v>
      </c>
      <c r="Q15" s="108">
        <v>422642000</v>
      </c>
      <c r="R15" s="155">
        <v>5002.3746738275049</v>
      </c>
      <c r="S15" s="122">
        <v>0.1255</v>
      </c>
      <c r="T15" s="122">
        <v>0.24149999999999999</v>
      </c>
      <c r="U15" s="122">
        <v>0.1971</v>
      </c>
      <c r="V15" s="122" t="s">
        <v>354</v>
      </c>
      <c r="W15" s="108">
        <v>11381600000</v>
      </c>
      <c r="X15" s="108">
        <v>2617300000</v>
      </c>
      <c r="Y15" s="108">
        <v>2650200000</v>
      </c>
      <c r="Z15" s="108">
        <f t="shared" si="3"/>
        <v>14283908</v>
      </c>
      <c r="AA15" s="108">
        <f t="shared" si="4"/>
        <v>11544323.699999999</v>
      </c>
      <c r="AB15" s="108">
        <f t="shared" si="5"/>
        <v>29801889</v>
      </c>
      <c r="AC15" s="108">
        <f t="shared" si="6"/>
        <v>3973657.3000000007</v>
      </c>
    </row>
    <row r="16" spans="1:29" x14ac:dyDescent="0.2">
      <c r="A16" s="124" t="s">
        <v>382</v>
      </c>
      <c r="B16" s="99">
        <f t="shared" si="0"/>
        <v>4.0649628770804717E-3</v>
      </c>
      <c r="C16" t="s">
        <v>228</v>
      </c>
      <c r="D16" s="99">
        <f t="shared" si="1"/>
        <v>2.3494999056425742E-2</v>
      </c>
      <c r="E16" s="123">
        <v>203195000</v>
      </c>
      <c r="F16" s="219">
        <v>87113</v>
      </c>
      <c r="G16" s="93">
        <v>90300</v>
      </c>
      <c r="H16" s="93">
        <v>5299</v>
      </c>
      <c r="I16" s="93">
        <v>12920</v>
      </c>
      <c r="J16" s="93">
        <v>5050</v>
      </c>
      <c r="K16" s="108">
        <f>(F16*138.66)*SUM(1,Macrogegevens!$C$4,0.5*Macrogegevens!$C$6,Macrogegevens!$C$8)</f>
        <v>12329125.713606002</v>
      </c>
      <c r="L16" s="108">
        <f t="shared" si="7"/>
        <v>6728790.4600000028</v>
      </c>
      <c r="M16" s="108">
        <v>13875756.500411963</v>
      </c>
      <c r="N16" s="108">
        <v>8061283.0159726245</v>
      </c>
      <c r="O16" s="108">
        <v>0</v>
      </c>
      <c r="P16" s="108">
        <f t="shared" si="2"/>
        <v>21937039.516384587</v>
      </c>
      <c r="Q16" s="108">
        <v>230300000</v>
      </c>
      <c r="R16" s="155">
        <v>-88.109548299151129</v>
      </c>
      <c r="S16" s="122">
        <v>9.2789999999999997E-2</v>
      </c>
      <c r="T16" s="122">
        <v>0.21679999999999999</v>
      </c>
      <c r="U16" s="122">
        <v>0.17455999999999999</v>
      </c>
      <c r="V16" s="122" t="s">
        <v>382</v>
      </c>
      <c r="W16" s="108">
        <v>8456000000</v>
      </c>
      <c r="X16" s="108">
        <v>1685250000</v>
      </c>
      <c r="Y16" s="108">
        <v>1709400000</v>
      </c>
      <c r="Z16" s="108">
        <f t="shared" si="3"/>
        <v>7846322.3999999994</v>
      </c>
      <c r="AA16" s="108">
        <f t="shared" si="4"/>
        <v>6637550.6399999987</v>
      </c>
      <c r="AB16" s="108">
        <f t="shared" si="5"/>
        <v>21212663.5</v>
      </c>
      <c r="AC16" s="108">
        <f t="shared" si="6"/>
        <v>6728790.4600000028</v>
      </c>
    </row>
    <row r="17" spans="1:29" x14ac:dyDescent="0.2">
      <c r="A17" s="124" t="s">
        <v>383</v>
      </c>
      <c r="B17" s="99">
        <f t="shared" si="0"/>
        <v>6.4581296284355076E-3</v>
      </c>
      <c r="C17" t="s">
        <v>621</v>
      </c>
      <c r="D17" s="99">
        <f t="shared" si="1"/>
        <v>3.9703253993021076E-2</v>
      </c>
      <c r="E17" s="123">
        <v>5708512827</v>
      </c>
      <c r="F17" s="219">
        <v>821927</v>
      </c>
      <c r="G17" s="93">
        <v>869700</v>
      </c>
      <c r="H17" s="93">
        <v>70498</v>
      </c>
      <c r="I17" s="93">
        <v>173930</v>
      </c>
      <c r="J17" s="93">
        <v>64900</v>
      </c>
      <c r="K17" s="108">
        <f>(F17*185)*SUM(1,Macrogegevens!$C$4,0.5*Macrogegevens!$C$6,Macrogegevens!$C$8)</f>
        <v>155204064.44650003</v>
      </c>
      <c r="L17" s="108">
        <f t="shared" si="7"/>
        <v>85368656.710000008</v>
      </c>
      <c r="M17" s="108">
        <v>196630588.03142935</v>
      </c>
      <c r="N17" s="108">
        <v>70332879.776509762</v>
      </c>
      <c r="O17" s="108">
        <v>113820478.62977277</v>
      </c>
      <c r="P17" s="108">
        <f t="shared" si="2"/>
        <v>380783946.43771189</v>
      </c>
      <c r="Q17" s="108">
        <v>4914240230</v>
      </c>
      <c r="R17" s="155">
        <v>4425.3515180655077</v>
      </c>
      <c r="S17" s="122">
        <v>6.3089999999999993E-2</v>
      </c>
      <c r="T17" s="122">
        <v>0.19921</v>
      </c>
      <c r="U17" s="122">
        <v>0.15926000000000001</v>
      </c>
      <c r="V17" s="122" t="s">
        <v>383</v>
      </c>
      <c r="W17" s="108">
        <v>73717200000</v>
      </c>
      <c r="X17" s="108">
        <v>21385000000</v>
      </c>
      <c r="Y17" s="108">
        <v>21504350000</v>
      </c>
      <c r="Z17" s="108">
        <f t="shared" si="3"/>
        <v>46508181.479999989</v>
      </c>
      <c r="AA17" s="108">
        <f t="shared" si="4"/>
        <v>76848886.310000002</v>
      </c>
      <c r="AB17" s="108">
        <f t="shared" si="5"/>
        <v>208725724.5</v>
      </c>
      <c r="AC17" s="108">
        <f t="shared" si="6"/>
        <v>85368656.710000008</v>
      </c>
    </row>
    <row r="18" spans="1:29" x14ac:dyDescent="0.2">
      <c r="A18" s="124" t="s">
        <v>299</v>
      </c>
      <c r="B18" s="99">
        <f t="shared" si="0"/>
        <v>2.4892251908745751E-3</v>
      </c>
      <c r="C18" t="s">
        <v>621</v>
      </c>
      <c r="D18" s="99">
        <f t="shared" si="1"/>
        <v>3.750515889393314E-2</v>
      </c>
      <c r="E18" s="123">
        <v>445000000</v>
      </c>
      <c r="F18" s="219">
        <v>158059</v>
      </c>
      <c r="G18" s="93">
        <v>161600</v>
      </c>
      <c r="H18" s="93">
        <v>9692</v>
      </c>
      <c r="I18" s="93">
        <v>22330</v>
      </c>
      <c r="J18" s="93">
        <v>8965</v>
      </c>
      <c r="K18" s="108">
        <f>(F18*138.66)*SUM(1,Macrogegevens!$C$4,0.5*Macrogegevens!$C$6,Macrogegevens!$C$8)</f>
        <v>22370131.681458</v>
      </c>
      <c r="L18" s="108">
        <f t="shared" si="7"/>
        <v>48214.599999999627</v>
      </c>
      <c r="M18" s="108">
        <v>42901414.487996645</v>
      </c>
      <c r="N18" s="108">
        <v>25599439.490159363</v>
      </c>
      <c r="O18" s="108">
        <v>38872719.952620417</v>
      </c>
      <c r="P18" s="108">
        <f t="shared" si="2"/>
        <v>107373573.93077642</v>
      </c>
      <c r="Q18" s="108">
        <v>454106000</v>
      </c>
      <c r="R18" s="155">
        <v>4098.8723784082295</v>
      </c>
      <c r="S18" s="122">
        <v>0.1346</v>
      </c>
      <c r="T18" s="122">
        <v>0.30520000000000003</v>
      </c>
      <c r="U18" s="122">
        <v>0.24610000000000001</v>
      </c>
      <c r="V18" s="122" t="s">
        <v>299</v>
      </c>
      <c r="W18" s="108">
        <v>11659200000</v>
      </c>
      <c r="X18" s="108">
        <v>2626750000</v>
      </c>
      <c r="Y18" s="108">
        <v>2702700000</v>
      </c>
      <c r="Z18" s="108">
        <f t="shared" si="3"/>
        <v>15693283.199999999</v>
      </c>
      <c r="AA18" s="108">
        <f t="shared" si="4"/>
        <v>14668185.700000001</v>
      </c>
      <c r="AB18" s="108">
        <f t="shared" si="5"/>
        <v>30409683.5</v>
      </c>
      <c r="AC18" s="108">
        <f t="shared" si="6"/>
        <v>48214.599999999627</v>
      </c>
    </row>
    <row r="19" spans="1:29" x14ac:dyDescent="0.2">
      <c r="A19" s="124" t="s">
        <v>229</v>
      </c>
      <c r="B19" s="99">
        <f t="shared" si="0"/>
        <v>-9.5346533736936142E-4</v>
      </c>
      <c r="C19" t="s">
        <v>621</v>
      </c>
      <c r="D19" s="99">
        <f t="shared" si="1"/>
        <v>2.7833001988071572E-2</v>
      </c>
      <c r="E19" s="123">
        <v>36418000</v>
      </c>
      <c r="F19" s="219">
        <v>12003</v>
      </c>
      <c r="G19" s="93">
        <v>11900</v>
      </c>
      <c r="H19" s="93">
        <v>503</v>
      </c>
      <c r="I19" s="93">
        <v>1105</v>
      </c>
      <c r="J19" s="93">
        <v>475</v>
      </c>
      <c r="K19" s="108">
        <f>(F19*138.66)*SUM(1,Macrogegevens!$C$4,0.5*Macrogegevens!$C$6,Macrogegevens!$C$8)</f>
        <v>1698787.7347860003</v>
      </c>
      <c r="L19" s="108">
        <f t="shared" si="7"/>
        <v>0</v>
      </c>
      <c r="M19" s="108">
        <v>3744335.0931679076</v>
      </c>
      <c r="N19" s="108">
        <v>2269174.6069710841</v>
      </c>
      <c r="O19" s="108">
        <v>0</v>
      </c>
      <c r="P19" s="108">
        <f t="shared" si="2"/>
        <v>6013509.7001389917</v>
      </c>
      <c r="Q19" s="108">
        <v>37528000</v>
      </c>
      <c r="R19" s="155">
        <v>923.62034574468089</v>
      </c>
      <c r="S19" s="122">
        <v>0.23</v>
      </c>
      <c r="T19" s="122">
        <v>0.30680000000000002</v>
      </c>
      <c r="U19" s="122">
        <v>0.23530000000000001</v>
      </c>
      <c r="V19" s="122" t="s">
        <v>229</v>
      </c>
      <c r="W19" s="108">
        <v>647600000</v>
      </c>
      <c r="X19" s="108">
        <v>128099999.99999999</v>
      </c>
      <c r="Y19" s="108">
        <v>135800000</v>
      </c>
      <c r="Z19" s="108">
        <f t="shared" si="3"/>
        <v>1489480</v>
      </c>
      <c r="AA19" s="108">
        <f t="shared" si="4"/>
        <v>712548.2</v>
      </c>
      <c r="AB19" s="108">
        <f t="shared" si="5"/>
        <v>1631585</v>
      </c>
      <c r="AC19" s="108">
        <f t="shared" si="6"/>
        <v>-570443.19999999995</v>
      </c>
    </row>
    <row r="20" spans="1:29" x14ac:dyDescent="0.2">
      <c r="A20" s="124" t="s">
        <v>300</v>
      </c>
      <c r="B20" s="99">
        <f t="shared" si="0"/>
        <v>8.2612064776264472E-3</v>
      </c>
      <c r="C20" t="s">
        <v>621</v>
      </c>
      <c r="D20" s="99">
        <f t="shared" si="1"/>
        <v>3.7076496910291926E-2</v>
      </c>
      <c r="E20" s="123">
        <v>582558000</v>
      </c>
      <c r="F20" s="219">
        <v>152278</v>
      </c>
      <c r="G20" s="93">
        <v>163600</v>
      </c>
      <c r="H20" s="93">
        <v>9386</v>
      </c>
      <c r="I20" s="93">
        <v>21220</v>
      </c>
      <c r="J20" s="93">
        <v>8690</v>
      </c>
      <c r="K20" s="108">
        <f>(F20*138.66)*SUM(1,Macrogegevens!$C$4,0.5*Macrogegevens!$C$6,Macrogegevens!$C$8)</f>
        <v>21551945.236836005</v>
      </c>
      <c r="L20" s="108">
        <f t="shared" si="7"/>
        <v>0</v>
      </c>
      <c r="M20" s="108">
        <v>38651864.321062997</v>
      </c>
      <c r="N20" s="108">
        <v>22433167.633306224</v>
      </c>
      <c r="O20" s="108">
        <v>60657035.955805495</v>
      </c>
      <c r="P20" s="108">
        <f t="shared" si="2"/>
        <v>121742067.91017471</v>
      </c>
      <c r="Q20" s="108">
        <v>585710000</v>
      </c>
      <c r="R20" s="155">
        <v>5145.4515773578742</v>
      </c>
      <c r="S20" s="122">
        <v>0.21010000000000001</v>
      </c>
      <c r="T20" s="122">
        <v>0.30869999999999997</v>
      </c>
      <c r="U20" s="122">
        <v>0.24990000000000001</v>
      </c>
      <c r="V20" s="122" t="s">
        <v>300</v>
      </c>
      <c r="W20" s="108">
        <v>9751200000</v>
      </c>
      <c r="X20" s="108">
        <v>3068800000</v>
      </c>
      <c r="Y20" s="108">
        <v>3134250000</v>
      </c>
      <c r="Z20" s="108">
        <f t="shared" si="3"/>
        <v>20487271.199999999</v>
      </c>
      <c r="AA20" s="108">
        <f t="shared" si="4"/>
        <v>17305876.350000001</v>
      </c>
      <c r="AB20" s="108">
        <f t="shared" si="5"/>
        <v>28558107.5</v>
      </c>
      <c r="AC20" s="108">
        <f t="shared" si="6"/>
        <v>-9235040.0500000007</v>
      </c>
    </row>
    <row r="21" spans="1:29" x14ac:dyDescent="0.2">
      <c r="A21" s="124" t="s">
        <v>217</v>
      </c>
      <c r="B21" s="99">
        <f t="shared" si="0"/>
        <v>1.2983617841181912E-2</v>
      </c>
      <c r="C21" t="s">
        <v>621</v>
      </c>
      <c r="D21" s="99">
        <f t="shared" si="1"/>
        <v>4.4992743105950653E-2</v>
      </c>
      <c r="E21" s="123">
        <v>230358000</v>
      </c>
      <c r="F21" s="219">
        <v>67153</v>
      </c>
      <c r="G21" s="93">
        <v>75000</v>
      </c>
      <c r="H21" s="93">
        <v>3445</v>
      </c>
      <c r="I21" s="93">
        <v>7540</v>
      </c>
      <c r="J21" s="93">
        <v>3135</v>
      </c>
      <c r="K21" s="108">
        <f>(F21*138.66)*SUM(1,Macrogegevens!$C$4,0.5*Macrogegevens!$C$6,Macrogegevens!$C$8)</f>
        <v>9504181.6840860024</v>
      </c>
      <c r="L21" s="108">
        <f t="shared" si="7"/>
        <v>0</v>
      </c>
      <c r="M21" s="108">
        <v>24605576.86132871</v>
      </c>
      <c r="N21" s="108">
        <v>12428106.546254504</v>
      </c>
      <c r="O21" s="108">
        <v>25027062.222955015</v>
      </c>
      <c r="P21" s="108">
        <f t="shared" si="2"/>
        <v>62060745.630538225</v>
      </c>
      <c r="Q21" s="108">
        <v>246730000</v>
      </c>
      <c r="R21" s="155">
        <v>1508.9968140957567</v>
      </c>
      <c r="S21" s="122">
        <v>0.16819999999999999</v>
      </c>
      <c r="T21" s="122">
        <v>0.31119999999999998</v>
      </c>
      <c r="U21" s="122">
        <v>0.25</v>
      </c>
      <c r="V21" s="122" t="s">
        <v>217</v>
      </c>
      <c r="W21" s="108">
        <v>3894400000</v>
      </c>
      <c r="X21" s="108">
        <v>1054199999.9999999</v>
      </c>
      <c r="Y21" s="108">
        <v>1054199999.9999999</v>
      </c>
      <c r="Z21" s="108">
        <f t="shared" si="3"/>
        <v>6550380.7999999998</v>
      </c>
      <c r="AA21" s="108">
        <f t="shared" si="4"/>
        <v>5916170.3999999985</v>
      </c>
      <c r="AB21" s="108">
        <f t="shared" si="5"/>
        <v>10745012</v>
      </c>
      <c r="AC21" s="108">
        <f t="shared" si="6"/>
        <v>-1721539.1999999983</v>
      </c>
    </row>
    <row r="22" spans="1:29" x14ac:dyDescent="0.2">
      <c r="A22" s="124" t="s">
        <v>511</v>
      </c>
      <c r="B22" s="99">
        <f t="shared" si="0"/>
        <v>2.9529408606480365E-4</v>
      </c>
      <c r="C22" t="s">
        <v>689</v>
      </c>
      <c r="D22" s="99">
        <f t="shared" si="1"/>
        <v>4.5615275813295615E-2</v>
      </c>
      <c r="E22" s="123">
        <v>29480657</v>
      </c>
      <c r="F22" s="219">
        <v>16556</v>
      </c>
      <c r="G22" s="93">
        <v>16600</v>
      </c>
      <c r="H22" s="93">
        <v>1414</v>
      </c>
      <c r="I22" s="93">
        <v>3200</v>
      </c>
      <c r="J22" s="93">
        <v>1285</v>
      </c>
      <c r="K22" s="108">
        <f>(F22*138.66)*SUM(1,Macrogegevens!$C$4,0.5*Macrogegevens!$C$6,Macrogegevens!$C$8)</f>
        <v>2343175.0176720005</v>
      </c>
      <c r="L22" s="108">
        <f t="shared" si="7"/>
        <v>1414961.95</v>
      </c>
      <c r="M22" s="108">
        <v>2738851.8917854256</v>
      </c>
      <c r="N22" s="108">
        <v>2048297.2061356809</v>
      </c>
      <c r="O22" s="108">
        <v>0</v>
      </c>
      <c r="P22" s="108">
        <f t="shared" si="2"/>
        <v>4787149.097921107</v>
      </c>
      <c r="Q22" s="108">
        <v>29784832</v>
      </c>
      <c r="R22" s="155">
        <v>284.35873890419344</v>
      </c>
      <c r="S22" s="122">
        <v>9.7299999999999998E-2</v>
      </c>
      <c r="T22" s="122">
        <v>0.15040000000000001</v>
      </c>
      <c r="U22" s="122">
        <v>0.12809999999999999</v>
      </c>
      <c r="V22" s="122" t="s">
        <v>511</v>
      </c>
      <c r="W22" s="108">
        <v>1409200000</v>
      </c>
      <c r="X22" s="108">
        <v>302050000</v>
      </c>
      <c r="Y22" s="108">
        <v>348250000</v>
      </c>
      <c r="Z22" s="108">
        <f t="shared" si="3"/>
        <v>1371151.6</v>
      </c>
      <c r="AA22" s="108">
        <f t="shared" si="4"/>
        <v>900391.45</v>
      </c>
      <c r="AB22" s="108">
        <f t="shared" si="5"/>
        <v>3686505</v>
      </c>
      <c r="AC22" s="108">
        <f t="shared" si="6"/>
        <v>1414961.95</v>
      </c>
    </row>
    <row r="23" spans="1:29" x14ac:dyDescent="0.2">
      <c r="A23" s="124" t="s">
        <v>512</v>
      </c>
      <c r="B23" s="99">
        <f t="shared" si="0"/>
        <v>5.015315224342792E-3</v>
      </c>
      <c r="C23" t="s">
        <v>689</v>
      </c>
      <c r="D23" s="99">
        <f t="shared" si="1"/>
        <v>5.6786703601108032E-2</v>
      </c>
      <c r="E23" s="123">
        <v>13895992</v>
      </c>
      <c r="F23" s="219">
        <v>6602</v>
      </c>
      <c r="G23" s="93">
        <v>6900</v>
      </c>
      <c r="H23" s="93">
        <v>722</v>
      </c>
      <c r="I23" s="93">
        <v>1540</v>
      </c>
      <c r="J23" s="93">
        <v>640</v>
      </c>
      <c r="K23" s="108">
        <f>(F23*138.66)*SUM(1,Macrogegevens!$C$4,0.5*Macrogegevens!$C$6,Macrogegevens!$C$8)</f>
        <v>934382.78972400015</v>
      </c>
      <c r="L23" s="108">
        <f t="shared" si="7"/>
        <v>777574.5</v>
      </c>
      <c r="M23" s="108">
        <v>576313.97969844763</v>
      </c>
      <c r="N23" s="108">
        <v>1276962.7666090883</v>
      </c>
      <c r="O23" s="108">
        <v>0</v>
      </c>
      <c r="P23" s="108">
        <f t="shared" si="2"/>
        <v>1853276.746307536</v>
      </c>
      <c r="Q23" s="108">
        <v>14265165</v>
      </c>
      <c r="R23" s="155">
        <v>-293.00313292555575</v>
      </c>
      <c r="S23" s="122">
        <v>9.8000000000000004E-2</v>
      </c>
      <c r="T23" s="122">
        <v>0.11</v>
      </c>
      <c r="U23" s="122">
        <v>8.3000000000000004E-2</v>
      </c>
      <c r="V23" s="122" t="s">
        <v>512</v>
      </c>
      <c r="W23" s="108">
        <v>572000000</v>
      </c>
      <c r="X23" s="108">
        <v>167650000</v>
      </c>
      <c r="Y23" s="108">
        <v>206850000</v>
      </c>
      <c r="Z23" s="108">
        <f t="shared" si="3"/>
        <v>560560</v>
      </c>
      <c r="AA23" s="108">
        <f t="shared" si="4"/>
        <v>356100.5</v>
      </c>
      <c r="AB23" s="108">
        <f t="shared" si="5"/>
        <v>1694235</v>
      </c>
      <c r="AC23" s="108">
        <f t="shared" si="6"/>
        <v>777574.5</v>
      </c>
    </row>
    <row r="24" spans="1:29" x14ac:dyDescent="0.2">
      <c r="A24" s="124" t="s">
        <v>355</v>
      </c>
      <c r="B24" s="99">
        <f t="shared" si="0"/>
        <v>-2.2768670309653918E-3</v>
      </c>
      <c r="C24" t="s">
        <v>228</v>
      </c>
      <c r="D24" s="99">
        <f t="shared" si="1"/>
        <v>2.7189605389797884E-2</v>
      </c>
      <c r="E24" s="123">
        <v>49940000</v>
      </c>
      <c r="F24" s="219">
        <v>24400</v>
      </c>
      <c r="G24" s="93">
        <v>23900</v>
      </c>
      <c r="H24" s="93">
        <v>2078</v>
      </c>
      <c r="I24" s="93">
        <v>5065</v>
      </c>
      <c r="J24" s="93">
        <v>1965</v>
      </c>
      <c r="K24" s="108">
        <f>(F24*138.66)*SUM(1,Macrogegevens!$C$4,0.5*Macrogegevens!$C$6,Macrogegevens!$C$8)</f>
        <v>3453338.3928000005</v>
      </c>
      <c r="L24" s="108">
        <f t="shared" si="7"/>
        <v>1806123.5499999998</v>
      </c>
      <c r="M24" s="108">
        <v>3947025.9888999504</v>
      </c>
      <c r="N24" s="108">
        <v>3011620.3242193083</v>
      </c>
      <c r="O24" s="108">
        <v>0</v>
      </c>
      <c r="P24" s="108">
        <f t="shared" si="2"/>
        <v>6958646.3131192587</v>
      </c>
      <c r="Q24" s="108">
        <v>48949000</v>
      </c>
      <c r="R24" s="155">
        <v>182.99954764156763</v>
      </c>
      <c r="S24" s="122">
        <v>0.1124</v>
      </c>
      <c r="T24" s="122">
        <v>0.18559999999999999</v>
      </c>
      <c r="U24" s="122">
        <v>0.14849999999999999</v>
      </c>
      <c r="V24" s="122" t="s">
        <v>355</v>
      </c>
      <c r="W24" s="108">
        <v>2564800000</v>
      </c>
      <c r="X24" s="108">
        <v>390250000</v>
      </c>
      <c r="Y24" s="108">
        <v>405650000</v>
      </c>
      <c r="Z24" s="108">
        <f t="shared" si="3"/>
        <v>2882835.2</v>
      </c>
      <c r="AA24" s="108">
        <f t="shared" si="4"/>
        <v>1326694.25</v>
      </c>
      <c r="AB24" s="108">
        <f t="shared" si="5"/>
        <v>6015653</v>
      </c>
      <c r="AC24" s="108">
        <f t="shared" si="6"/>
        <v>1806123.5499999998</v>
      </c>
    </row>
    <row r="25" spans="1:29" x14ac:dyDescent="0.2">
      <c r="A25" s="124" t="s">
        <v>435</v>
      </c>
      <c r="B25" s="99">
        <f t="shared" si="0"/>
        <v>9.0342788354779522E-3</v>
      </c>
      <c r="C25" t="s">
        <v>689</v>
      </c>
      <c r="D25" s="99">
        <f t="shared" si="1"/>
        <v>3.1201967414694127E-2</v>
      </c>
      <c r="E25" s="123">
        <v>77605667</v>
      </c>
      <c r="F25" s="219">
        <v>47535</v>
      </c>
      <c r="G25" s="93">
        <v>51400</v>
      </c>
      <c r="H25" s="93">
        <v>3253</v>
      </c>
      <c r="I25" s="93">
        <v>8295</v>
      </c>
      <c r="J25" s="93">
        <v>3050</v>
      </c>
      <c r="K25" s="108">
        <f>(F25*138.66)*SUM(1,Macrogegevens!$C$4,0.5*Macrogegevens!$C$6,Macrogegevens!$C$8)</f>
        <v>6727641.0041700006</v>
      </c>
      <c r="L25" s="108">
        <f t="shared" si="7"/>
        <v>3039848.8499999996</v>
      </c>
      <c r="M25" s="108">
        <v>10244877.782039858</v>
      </c>
      <c r="N25" s="108">
        <v>3680658.9438642333</v>
      </c>
      <c r="O25" s="108">
        <v>0</v>
      </c>
      <c r="P25" s="108">
        <f t="shared" si="2"/>
        <v>13925536.725904092</v>
      </c>
      <c r="Q25" s="108">
        <v>72497194</v>
      </c>
      <c r="R25" s="155">
        <v>1406.9194169949837</v>
      </c>
      <c r="S25" s="122">
        <v>0.12039999999999999</v>
      </c>
      <c r="T25" s="122">
        <v>0.13500000000000001</v>
      </c>
      <c r="U25" s="122">
        <v>0.1149</v>
      </c>
      <c r="V25" s="122" t="s">
        <v>435</v>
      </c>
      <c r="W25" s="108">
        <v>3598800000</v>
      </c>
      <c r="X25" s="108">
        <v>859950000</v>
      </c>
      <c r="Y25" s="108">
        <v>862050000</v>
      </c>
      <c r="Z25" s="108">
        <f t="shared" si="3"/>
        <v>4332955.2</v>
      </c>
      <c r="AA25" s="108">
        <f t="shared" si="4"/>
        <v>2151427.9500000002</v>
      </c>
      <c r="AB25" s="108">
        <f t="shared" si="5"/>
        <v>9524232</v>
      </c>
      <c r="AC25" s="108">
        <f t="shared" si="6"/>
        <v>3039848.8499999996</v>
      </c>
    </row>
    <row r="26" spans="1:29" x14ac:dyDescent="0.2">
      <c r="A26" s="124" t="s">
        <v>301</v>
      </c>
      <c r="B26" s="99">
        <f t="shared" si="0"/>
        <v>1.2760841841915021E-2</v>
      </c>
      <c r="C26" t="s">
        <v>689</v>
      </c>
      <c r="D26" s="99">
        <f t="shared" si="1"/>
        <v>4.9880763116057235E-2</v>
      </c>
      <c r="E26" s="123">
        <v>99958000</v>
      </c>
      <c r="F26" s="219">
        <v>54716</v>
      </c>
      <c r="G26" s="93">
        <v>61000</v>
      </c>
      <c r="H26" s="93">
        <v>5032</v>
      </c>
      <c r="I26" s="93">
        <v>11305</v>
      </c>
      <c r="J26" s="93">
        <v>4530</v>
      </c>
      <c r="K26" s="108">
        <f>(F26*138.66)*SUM(1,Macrogegevens!$C$4,0.5*Macrogegevens!$C$6,Macrogegevens!$C$8)</f>
        <v>7743969.8155920012</v>
      </c>
      <c r="L26" s="108">
        <f t="shared" si="7"/>
        <v>4843385.3500000006</v>
      </c>
      <c r="M26" s="108">
        <v>12994062.22411716</v>
      </c>
      <c r="N26" s="108">
        <v>7132648.9888126822</v>
      </c>
      <c r="O26" s="108">
        <v>0</v>
      </c>
      <c r="P26" s="108">
        <f t="shared" si="2"/>
        <v>20126711.212929841</v>
      </c>
      <c r="Q26" s="108">
        <v>97249000</v>
      </c>
      <c r="R26" s="155">
        <v>3985.502000381025</v>
      </c>
      <c r="S26" s="122">
        <v>9.98E-2</v>
      </c>
      <c r="T26" s="122">
        <v>0.1368</v>
      </c>
      <c r="U26" s="122">
        <v>0.1079</v>
      </c>
      <c r="V26" s="122" t="s">
        <v>301</v>
      </c>
      <c r="W26" s="108">
        <v>4247200000</v>
      </c>
      <c r="X26" s="108">
        <v>1224650000</v>
      </c>
      <c r="Y26" s="108">
        <v>1354150000</v>
      </c>
      <c r="Z26" s="108">
        <f t="shared" si="3"/>
        <v>4238705.5999999996</v>
      </c>
      <c r="AA26" s="108">
        <f t="shared" si="4"/>
        <v>3136449.05</v>
      </c>
      <c r="AB26" s="108">
        <f t="shared" si="5"/>
        <v>12218540</v>
      </c>
      <c r="AC26" s="108">
        <f t="shared" si="6"/>
        <v>4843385.3500000006</v>
      </c>
    </row>
    <row r="27" spans="1:29" x14ac:dyDescent="0.2">
      <c r="A27" s="124" t="s">
        <v>230</v>
      </c>
      <c r="B27" s="99">
        <f t="shared" si="0"/>
        <v>-3.1959092361776926E-4</v>
      </c>
      <c r="C27" t="s">
        <v>228</v>
      </c>
      <c r="D27" s="99">
        <f t="shared" si="1"/>
        <v>5.6587837837837836E-2</v>
      </c>
      <c r="E27" s="123">
        <v>19549390</v>
      </c>
      <c r="F27" s="219">
        <v>10430</v>
      </c>
      <c r="G27" s="93">
        <v>10400</v>
      </c>
      <c r="H27" s="93">
        <v>592</v>
      </c>
      <c r="I27" s="93">
        <v>1165</v>
      </c>
      <c r="J27" s="93">
        <v>525</v>
      </c>
      <c r="K27" s="108">
        <f>(F27*138.66)*SUM(1,Macrogegevens!$C$4,0.5*Macrogegevens!$C$6,Macrogegevens!$C$8)</f>
        <v>1476160.6326600004</v>
      </c>
      <c r="L27" s="108">
        <f t="shared" si="7"/>
        <v>218624.74999999988</v>
      </c>
      <c r="M27" s="108">
        <v>2354812.3158806674</v>
      </c>
      <c r="N27" s="108">
        <v>1362210.667008372</v>
      </c>
      <c r="O27" s="108">
        <v>0</v>
      </c>
      <c r="P27" s="108">
        <f t="shared" si="2"/>
        <v>3717022.9828890394</v>
      </c>
      <c r="Q27" s="108">
        <v>19990896</v>
      </c>
      <c r="R27" s="155">
        <v>2201.7804154302671</v>
      </c>
      <c r="S27" s="122">
        <v>0.13800000000000001</v>
      </c>
      <c r="T27" s="122">
        <v>0.2215</v>
      </c>
      <c r="U27" s="122">
        <v>0.16550000000000001</v>
      </c>
      <c r="V27" s="122" t="s">
        <v>230</v>
      </c>
      <c r="W27" s="108">
        <v>600000000</v>
      </c>
      <c r="X27" s="108">
        <v>100100000</v>
      </c>
      <c r="Y27" s="108">
        <v>112350000</v>
      </c>
      <c r="Z27" s="108">
        <f t="shared" si="3"/>
        <v>828000.00000000012</v>
      </c>
      <c r="AA27" s="108">
        <f t="shared" si="4"/>
        <v>407660.75</v>
      </c>
      <c r="AB27" s="108">
        <f t="shared" si="5"/>
        <v>1454285.5</v>
      </c>
      <c r="AC27" s="108">
        <f t="shared" si="6"/>
        <v>218624.74999999988</v>
      </c>
    </row>
    <row r="28" spans="1:29" x14ac:dyDescent="0.2">
      <c r="A28" s="125" t="s">
        <v>574</v>
      </c>
      <c r="B28" s="99">
        <f t="shared" si="0"/>
        <v>-4.9125403383280921E-3</v>
      </c>
      <c r="C28" t="s">
        <v>228</v>
      </c>
      <c r="D28" s="99">
        <f t="shared" si="1"/>
        <v>2.9914529914529916E-2</v>
      </c>
      <c r="E28" s="123">
        <v>36429000</v>
      </c>
      <c r="F28" s="219">
        <v>16217</v>
      </c>
      <c r="G28" s="93">
        <v>15500</v>
      </c>
      <c r="H28" s="93">
        <v>1170</v>
      </c>
      <c r="I28" s="93">
        <v>2780</v>
      </c>
      <c r="J28" s="93">
        <v>1100</v>
      </c>
      <c r="K28" s="108">
        <f>(F28*138.66)*SUM(1,Macrogegevens!$C$4,0.5*Macrogegevens!$C$6,Macrogegevens!$C$8)</f>
        <v>2295196.2588539999</v>
      </c>
      <c r="L28" s="108">
        <f t="shared" si="7"/>
        <v>7640.4500000001863</v>
      </c>
      <c r="M28" s="108">
        <v>3261070.0571996053</v>
      </c>
      <c r="N28" s="108">
        <v>2928120.9456667714</v>
      </c>
      <c r="O28" s="108">
        <v>0</v>
      </c>
      <c r="P28" s="108">
        <f t="shared" si="2"/>
        <v>6189191.0028663762</v>
      </c>
      <c r="Q28" s="108">
        <v>40719000</v>
      </c>
      <c r="R28" s="155">
        <v>-1393.5701791422885</v>
      </c>
      <c r="S28" s="122">
        <v>0.14649999999999999</v>
      </c>
      <c r="T28" s="122">
        <v>0.27139999999999997</v>
      </c>
      <c r="U28" s="122">
        <v>0.21510000000000001</v>
      </c>
      <c r="V28" s="122" t="s">
        <v>574</v>
      </c>
      <c r="W28" s="108">
        <v>1064800000</v>
      </c>
      <c r="X28" s="108">
        <v>261099999.99999997</v>
      </c>
      <c r="Y28" s="108">
        <v>269150000</v>
      </c>
      <c r="Z28" s="108">
        <f t="shared" si="3"/>
        <v>1559932</v>
      </c>
      <c r="AA28" s="108">
        <f t="shared" si="4"/>
        <v>1287567.0499999998</v>
      </c>
      <c r="AB28" s="108">
        <f t="shared" si="5"/>
        <v>2855139.5</v>
      </c>
      <c r="AC28" s="108">
        <f t="shared" si="6"/>
        <v>7640.4500000001863</v>
      </c>
    </row>
    <row r="29" spans="1:29" x14ac:dyDescent="0.2">
      <c r="A29" s="124" t="s">
        <v>384</v>
      </c>
      <c r="B29" s="99">
        <f t="shared" si="0"/>
        <v>-6.301079293780024E-3</v>
      </c>
      <c r="C29" t="s">
        <v>689</v>
      </c>
      <c r="D29" s="99">
        <f t="shared" si="1"/>
        <v>8.2379862700228831E-2</v>
      </c>
      <c r="E29" s="123">
        <v>20692473</v>
      </c>
      <c r="F29" s="219">
        <v>8905</v>
      </c>
      <c r="G29" s="93">
        <v>8400</v>
      </c>
      <c r="H29" s="93">
        <v>874</v>
      </c>
      <c r="I29" s="93">
        <v>1810</v>
      </c>
      <c r="J29" s="93">
        <v>730</v>
      </c>
      <c r="K29" s="108">
        <f>(F29*138.66)*SUM(1,Macrogegevens!$C$4,0.5*Macrogegevens!$C$6,Macrogegevens!$C$8)</f>
        <v>1260326.9831100001</v>
      </c>
      <c r="L29" s="108">
        <f t="shared" si="7"/>
        <v>785613</v>
      </c>
      <c r="M29" s="108">
        <v>1545884.0351068901</v>
      </c>
      <c r="N29" s="108">
        <v>849685.78814847837</v>
      </c>
      <c r="O29" s="108">
        <v>0</v>
      </c>
      <c r="P29" s="108">
        <f t="shared" si="2"/>
        <v>2395569.8232553685</v>
      </c>
      <c r="Q29" s="108">
        <v>21484646</v>
      </c>
      <c r="R29" s="155">
        <v>3402.2600186393288</v>
      </c>
      <c r="S29" s="122">
        <v>0.11</v>
      </c>
      <c r="T29" s="122">
        <v>0.11</v>
      </c>
      <c r="U29" s="122">
        <v>8.1000000000000003E-2</v>
      </c>
      <c r="V29" s="122" t="s">
        <v>384</v>
      </c>
      <c r="W29" s="108">
        <v>832000000</v>
      </c>
      <c r="X29" s="108">
        <v>112700000</v>
      </c>
      <c r="Y29" s="108">
        <v>136500000</v>
      </c>
      <c r="Z29" s="108">
        <f t="shared" si="3"/>
        <v>915200</v>
      </c>
      <c r="AA29" s="108">
        <f t="shared" si="4"/>
        <v>234535.00000000003</v>
      </c>
      <c r="AB29" s="108">
        <f t="shared" si="5"/>
        <v>1935348</v>
      </c>
      <c r="AC29" s="108">
        <f t="shared" si="6"/>
        <v>785613</v>
      </c>
    </row>
    <row r="30" spans="1:29" x14ac:dyDescent="0.2">
      <c r="A30" s="124" t="s">
        <v>575</v>
      </c>
      <c r="B30" s="99">
        <f t="shared" si="0"/>
        <v>6.9053960737890899E-4</v>
      </c>
      <c r="C30" t="s">
        <v>228</v>
      </c>
      <c r="D30" s="99">
        <f t="shared" si="1"/>
        <v>2.8875379939209727E-2</v>
      </c>
      <c r="E30" s="123">
        <v>30037000</v>
      </c>
      <c r="F30" s="219">
        <v>13516</v>
      </c>
      <c r="G30" s="93">
        <v>13600</v>
      </c>
      <c r="H30" s="93">
        <v>658</v>
      </c>
      <c r="I30" s="93">
        <v>1575</v>
      </c>
      <c r="J30" s="93">
        <v>620</v>
      </c>
      <c r="K30" s="108">
        <f>(F30*138.66)*SUM(1,Macrogegevens!$C$4,0.5*Macrogegevens!$C$6,Macrogegevens!$C$8)</f>
        <v>1912923.0211920002</v>
      </c>
      <c r="L30" s="108">
        <f t="shared" si="7"/>
        <v>724807.7</v>
      </c>
      <c r="M30" s="108">
        <v>2612757.2459421549</v>
      </c>
      <c r="N30" s="108">
        <v>2663434.4310908988</v>
      </c>
      <c r="O30" s="108">
        <v>0</v>
      </c>
      <c r="P30" s="108">
        <f t="shared" si="2"/>
        <v>5276191.6770330537</v>
      </c>
      <c r="Q30" s="108">
        <v>30541000</v>
      </c>
      <c r="R30" s="155">
        <v>-357.79024600776864</v>
      </c>
      <c r="S30" s="122">
        <v>0.10589999999999999</v>
      </c>
      <c r="T30" s="122">
        <v>0.1656</v>
      </c>
      <c r="U30" s="122">
        <v>0.13350000000000001</v>
      </c>
      <c r="V30" s="122" t="s">
        <v>575</v>
      </c>
      <c r="W30" s="108">
        <v>881200000</v>
      </c>
      <c r="X30" s="108">
        <v>131249999.99999999</v>
      </c>
      <c r="Y30" s="108">
        <v>138600000</v>
      </c>
      <c r="Z30" s="108">
        <f t="shared" si="3"/>
        <v>933190.8</v>
      </c>
      <c r="AA30" s="108">
        <f t="shared" si="4"/>
        <v>402381</v>
      </c>
      <c r="AB30" s="108">
        <f t="shared" si="5"/>
        <v>2060379.5</v>
      </c>
      <c r="AC30" s="108">
        <f t="shared" si="6"/>
        <v>724807.7</v>
      </c>
    </row>
    <row r="31" spans="1:29" x14ac:dyDescent="0.2">
      <c r="A31" s="124" t="s">
        <v>231</v>
      </c>
      <c r="B31" s="99">
        <f t="shared" si="0"/>
        <v>-6.6217119251564304E-3</v>
      </c>
      <c r="C31" t="s">
        <v>228</v>
      </c>
      <c r="D31" s="99">
        <f t="shared" si="1"/>
        <v>6.2193126022913256E-2</v>
      </c>
      <c r="E31" s="123">
        <v>23132000</v>
      </c>
      <c r="F31" s="219">
        <v>9145</v>
      </c>
      <c r="G31" s="93">
        <v>8600</v>
      </c>
      <c r="H31" s="93">
        <v>611</v>
      </c>
      <c r="I31" s="93">
        <v>1170</v>
      </c>
      <c r="J31" s="93">
        <v>535</v>
      </c>
      <c r="K31" s="108">
        <f>(F31*138.66)*SUM(1,Macrogegevens!$C$4,0.5*Macrogegevens!$C$6,Macrogegevens!$C$8)</f>
        <v>1294294.2459900002</v>
      </c>
      <c r="L31" s="108">
        <f t="shared" si="7"/>
        <v>11583</v>
      </c>
      <c r="M31" s="108">
        <v>2461066.3560936591</v>
      </c>
      <c r="N31" s="108">
        <v>1845651.4868806053</v>
      </c>
      <c r="O31" s="108">
        <v>0</v>
      </c>
      <c r="P31" s="108">
        <f t="shared" si="2"/>
        <v>4306717.8429742642</v>
      </c>
      <c r="Q31" s="108">
        <v>23446000</v>
      </c>
      <c r="R31" s="155">
        <v>1563.4380736421554</v>
      </c>
      <c r="S31" s="122">
        <v>0.182</v>
      </c>
      <c r="T31" s="122">
        <v>0.182</v>
      </c>
      <c r="U31" s="122">
        <v>0.14849999999999999</v>
      </c>
      <c r="V31" s="122" t="s">
        <v>231</v>
      </c>
      <c r="W31" s="108">
        <v>514800000</v>
      </c>
      <c r="X31" s="108">
        <v>81200000</v>
      </c>
      <c r="Y31" s="108">
        <v>96600000</v>
      </c>
      <c r="Z31" s="108">
        <f t="shared" si="3"/>
        <v>936936</v>
      </c>
      <c r="AA31" s="108">
        <f t="shared" si="4"/>
        <v>291235</v>
      </c>
      <c r="AB31" s="108">
        <f t="shared" si="5"/>
        <v>1239754</v>
      </c>
      <c r="AC31" s="108">
        <f t="shared" si="6"/>
        <v>11583</v>
      </c>
    </row>
    <row r="32" spans="1:29" x14ac:dyDescent="0.2">
      <c r="A32" s="124" t="s">
        <v>513</v>
      </c>
      <c r="B32" s="99">
        <f t="shared" si="0"/>
        <v>-3.1355611678440271E-3</v>
      </c>
      <c r="C32" t="s">
        <v>689</v>
      </c>
      <c r="D32" s="99">
        <f t="shared" si="1"/>
        <v>6.3539192399049885E-2</v>
      </c>
      <c r="E32" s="123">
        <v>37169000</v>
      </c>
      <c r="F32" s="219">
        <v>18214</v>
      </c>
      <c r="G32" s="93">
        <v>17700</v>
      </c>
      <c r="H32" s="93">
        <v>1684</v>
      </c>
      <c r="I32" s="93">
        <v>3815</v>
      </c>
      <c r="J32" s="93">
        <v>1470</v>
      </c>
      <c r="K32" s="108">
        <f>(F32*138.66)*SUM(1,Macrogegevens!$C$4,0.5*Macrogegevens!$C$6,Macrogegevens!$C$8)</f>
        <v>2577832.1920680003</v>
      </c>
      <c r="L32" s="108">
        <f t="shared" si="7"/>
        <v>1769003.4499999997</v>
      </c>
      <c r="M32" s="108">
        <v>2782786.0776950768</v>
      </c>
      <c r="N32" s="108">
        <v>2032712.3050315501</v>
      </c>
      <c r="O32" s="108">
        <v>0</v>
      </c>
      <c r="P32" s="108">
        <f t="shared" si="2"/>
        <v>4815498.3827266265</v>
      </c>
      <c r="Q32" s="108">
        <v>38507000</v>
      </c>
      <c r="R32" s="155">
        <v>1612.2030895299263</v>
      </c>
      <c r="S32" s="122">
        <v>9.5799999999999996E-2</v>
      </c>
      <c r="T32" s="122">
        <v>0.1447</v>
      </c>
      <c r="U32" s="122">
        <v>0.1158</v>
      </c>
      <c r="V32" s="122" t="s">
        <v>513</v>
      </c>
      <c r="W32" s="108">
        <v>1706400000</v>
      </c>
      <c r="X32" s="108">
        <v>323750000</v>
      </c>
      <c r="Y32" s="108">
        <v>376950000</v>
      </c>
      <c r="Z32" s="108">
        <f t="shared" si="3"/>
        <v>1634731.2</v>
      </c>
      <c r="AA32" s="108">
        <f t="shared" si="4"/>
        <v>904974.35</v>
      </c>
      <c r="AB32" s="108">
        <f t="shared" si="5"/>
        <v>4308709</v>
      </c>
      <c r="AC32" s="108">
        <f t="shared" si="6"/>
        <v>1769003.4499999997</v>
      </c>
    </row>
    <row r="33" spans="1:29" x14ac:dyDescent="0.2">
      <c r="A33" s="124" t="s">
        <v>614</v>
      </c>
      <c r="B33" s="99">
        <f t="shared" si="0"/>
        <v>-6.3610329709318531E-3</v>
      </c>
      <c r="C33" t="s">
        <v>228</v>
      </c>
      <c r="D33" s="99">
        <f t="shared" si="1"/>
        <v>6.1764705882352944E-2</v>
      </c>
      <c r="E33" s="123">
        <v>26033690</v>
      </c>
      <c r="F33" s="219">
        <v>13153</v>
      </c>
      <c r="G33" s="93">
        <v>12400</v>
      </c>
      <c r="H33" s="93">
        <v>850</v>
      </c>
      <c r="I33" s="93">
        <v>1695</v>
      </c>
      <c r="J33" s="93">
        <v>745</v>
      </c>
      <c r="K33" s="108">
        <f>(F33*138.66)*SUM(1,Macrogegevens!$C$4,0.5*Macrogegevens!$C$6,Macrogegevens!$C$8)</f>
        <v>1861547.5360860003</v>
      </c>
      <c r="L33" s="108">
        <f t="shared" si="7"/>
        <v>683308.15000000014</v>
      </c>
      <c r="M33" s="108">
        <v>2236295.6174615528</v>
      </c>
      <c r="N33" s="108">
        <v>1715581.0520276828</v>
      </c>
      <c r="O33" s="108">
        <v>0</v>
      </c>
      <c r="P33" s="108">
        <f t="shared" si="2"/>
        <v>3951876.6694892356</v>
      </c>
      <c r="Q33" s="108">
        <v>29320244</v>
      </c>
      <c r="R33" s="155">
        <v>-199.53700246434173</v>
      </c>
      <c r="S33" s="122">
        <v>0.11005</v>
      </c>
      <c r="T33" s="122">
        <v>0.17415</v>
      </c>
      <c r="U33" s="122">
        <v>0.14369999999999999</v>
      </c>
      <c r="V33" s="122" t="s">
        <v>639</v>
      </c>
      <c r="W33" s="108">
        <v>893600000</v>
      </c>
      <c r="X33" s="108">
        <v>167300000</v>
      </c>
      <c r="Y33" s="108">
        <v>167300000</v>
      </c>
      <c r="Z33" s="108">
        <f t="shared" si="3"/>
        <v>983406.79999999993</v>
      </c>
      <c r="AA33" s="108">
        <f t="shared" si="4"/>
        <v>531763.05000000005</v>
      </c>
      <c r="AB33" s="108">
        <f t="shared" si="5"/>
        <v>2198478</v>
      </c>
      <c r="AC33" s="108">
        <f t="shared" si="6"/>
        <v>683308.15000000014</v>
      </c>
    </row>
    <row r="34" spans="1:29" x14ac:dyDescent="0.2">
      <c r="A34" s="124" t="s">
        <v>615</v>
      </c>
      <c r="B34" s="99">
        <f t="shared" si="0"/>
        <v>-8.1790277731495359E-3</v>
      </c>
      <c r="C34" t="s">
        <v>228</v>
      </c>
      <c r="D34" s="99">
        <f t="shared" si="1"/>
        <v>3.2351721277478228E-2</v>
      </c>
      <c r="E34" s="123">
        <v>72167000</v>
      </c>
      <c r="F34" s="219">
        <v>30009</v>
      </c>
      <c r="G34" s="93">
        <v>27800</v>
      </c>
      <c r="H34" s="93">
        <v>2411</v>
      </c>
      <c r="I34" s="93">
        <v>5960</v>
      </c>
      <c r="J34" s="93">
        <v>2255</v>
      </c>
      <c r="K34" s="108">
        <f>(F34*138.66)*SUM(1,Macrogegevens!$C$4,0.5*Macrogegevens!$C$6,Macrogegevens!$C$8)</f>
        <v>4247181.6323580006</v>
      </c>
      <c r="L34" s="108">
        <f t="shared" si="7"/>
        <v>2842402</v>
      </c>
      <c r="M34" s="108">
        <v>3512670.3757666484</v>
      </c>
      <c r="N34" s="108">
        <v>2963480.6513047004</v>
      </c>
      <c r="O34" s="108">
        <v>0</v>
      </c>
      <c r="P34" s="108">
        <f t="shared" si="2"/>
        <v>6476151.0270713493</v>
      </c>
      <c r="Q34" s="108">
        <v>70123000</v>
      </c>
      <c r="R34" s="155">
        <v>2261.7395513958368</v>
      </c>
      <c r="S34" s="122">
        <v>0.114</v>
      </c>
      <c r="T34" s="122">
        <v>0.17</v>
      </c>
      <c r="U34" s="122">
        <v>0.158</v>
      </c>
      <c r="V34" s="122" t="s">
        <v>637</v>
      </c>
      <c r="W34" s="108">
        <v>4131200000</v>
      </c>
      <c r="X34" s="108">
        <v>479149999.99999994</v>
      </c>
      <c r="Y34" s="108">
        <v>542850000</v>
      </c>
      <c r="Z34" s="108">
        <f t="shared" si="3"/>
        <v>4709568</v>
      </c>
      <c r="AA34" s="108">
        <f t="shared" si="4"/>
        <v>1672258</v>
      </c>
      <c r="AB34" s="108">
        <f t="shared" si="5"/>
        <v>9224228</v>
      </c>
      <c r="AC34" s="108">
        <f t="shared" si="6"/>
        <v>2842402</v>
      </c>
    </row>
    <row r="35" spans="1:29" x14ac:dyDescent="0.2">
      <c r="A35" s="124" t="s">
        <v>514</v>
      </c>
      <c r="B35" s="99">
        <f t="shared" si="0"/>
        <v>-3.1832674061899474E-5</v>
      </c>
      <c r="C35" t="s">
        <v>621</v>
      </c>
      <c r="D35" s="99">
        <f t="shared" si="1"/>
        <v>2.6178010471204188E-2</v>
      </c>
      <c r="E35" s="123">
        <v>203881000</v>
      </c>
      <c r="F35" s="219">
        <v>66319</v>
      </c>
      <c r="G35" s="93">
        <v>66300</v>
      </c>
      <c r="H35" s="93">
        <v>3820</v>
      </c>
      <c r="I35" s="93">
        <v>8825</v>
      </c>
      <c r="J35" s="93">
        <v>3620</v>
      </c>
      <c r="K35" s="108">
        <f>(F35*138.66)*SUM(1,Macrogegevens!$C$4,0.5*Macrogegevens!$C$6,Macrogegevens!$C$8)</f>
        <v>9386145.4455780014</v>
      </c>
      <c r="L35" s="108">
        <f t="shared" si="7"/>
        <v>2484486.75</v>
      </c>
      <c r="M35" s="108">
        <v>17124589.126506947</v>
      </c>
      <c r="N35" s="108">
        <v>9937999.7317373194</v>
      </c>
      <c r="O35" s="108">
        <v>7670951.6093369965</v>
      </c>
      <c r="P35" s="108">
        <f t="shared" si="2"/>
        <v>34733540.467581265</v>
      </c>
      <c r="Q35" s="108">
        <v>202957000</v>
      </c>
      <c r="R35" s="155">
        <v>2129.8504062571192</v>
      </c>
      <c r="S35" s="122">
        <v>0.1031</v>
      </c>
      <c r="T35" s="122">
        <v>0.2387</v>
      </c>
      <c r="U35" s="122">
        <v>0.1983</v>
      </c>
      <c r="V35" s="122" t="s">
        <v>514</v>
      </c>
      <c r="W35" s="108">
        <v>4600000000</v>
      </c>
      <c r="X35" s="108">
        <v>1257900000</v>
      </c>
      <c r="Y35" s="108">
        <v>1326150000</v>
      </c>
      <c r="Z35" s="108">
        <f t="shared" si="3"/>
        <v>4742600</v>
      </c>
      <c r="AA35" s="108">
        <f t="shared" si="4"/>
        <v>5632362.75</v>
      </c>
      <c r="AB35" s="108">
        <f t="shared" si="5"/>
        <v>12859449.5</v>
      </c>
      <c r="AC35" s="108">
        <f t="shared" si="6"/>
        <v>2484486.75</v>
      </c>
    </row>
    <row r="36" spans="1:29" x14ac:dyDescent="0.2">
      <c r="A36" s="124" t="s">
        <v>302</v>
      </c>
      <c r="B36" s="99">
        <f t="shared" si="0"/>
        <v>-6.71208149633602E-3</v>
      </c>
      <c r="C36" t="s">
        <v>228</v>
      </c>
      <c r="D36" s="99">
        <f t="shared" si="1"/>
        <v>7.4934268185801928E-2</v>
      </c>
      <c r="E36" s="123">
        <v>150207000</v>
      </c>
      <c r="F36" s="219">
        <v>44381</v>
      </c>
      <c r="G36" s="93">
        <v>41700</v>
      </c>
      <c r="H36" s="93">
        <v>3423</v>
      </c>
      <c r="I36" s="93">
        <v>6415</v>
      </c>
      <c r="J36" s="93">
        <v>2910</v>
      </c>
      <c r="K36" s="108">
        <f>(F36*138.66)*SUM(1,Macrogegevens!$C$4,0.5*Macrogegevens!$C$6,Macrogegevens!$C$8)</f>
        <v>6281254.5578220012</v>
      </c>
      <c r="L36" s="108">
        <f t="shared" si="7"/>
        <v>2009984.4999999995</v>
      </c>
      <c r="M36" s="108">
        <v>11001597.115441415</v>
      </c>
      <c r="N36" s="108">
        <v>6478295.6424732525</v>
      </c>
      <c r="O36" s="108">
        <v>0</v>
      </c>
      <c r="P36" s="108">
        <f t="shared" si="2"/>
        <v>17479892.75791467</v>
      </c>
      <c r="Q36" s="108">
        <v>145391000</v>
      </c>
      <c r="R36" s="155">
        <v>1175.1967628618436</v>
      </c>
      <c r="S36" s="122">
        <v>0.13170000000000001</v>
      </c>
      <c r="T36" s="122">
        <v>0.16109999999999999</v>
      </c>
      <c r="U36" s="122">
        <v>0.12740000000000001</v>
      </c>
      <c r="V36" s="122" t="s">
        <v>302</v>
      </c>
      <c r="W36" s="108">
        <v>3051200000</v>
      </c>
      <c r="X36" s="108">
        <v>728700000</v>
      </c>
      <c r="Y36" s="108">
        <v>845600000</v>
      </c>
      <c r="Z36" s="108">
        <f t="shared" si="3"/>
        <v>4018430.4</v>
      </c>
      <c r="AA36" s="108">
        <f t="shared" si="4"/>
        <v>2251230.1</v>
      </c>
      <c r="AB36" s="108">
        <f t="shared" si="5"/>
        <v>8279645</v>
      </c>
      <c r="AC36" s="108">
        <f t="shared" si="6"/>
        <v>2009984.4999999995</v>
      </c>
    </row>
    <row r="37" spans="1:29" x14ac:dyDescent="0.2">
      <c r="A37" s="124" t="s">
        <v>515</v>
      </c>
      <c r="B37" s="99">
        <f t="shared" si="0"/>
        <v>1.3941684140493303E-3</v>
      </c>
      <c r="C37" t="s">
        <v>689</v>
      </c>
      <c r="D37" s="99">
        <f t="shared" si="1"/>
        <v>3.3734422002578431E-2</v>
      </c>
      <c r="E37" s="123">
        <v>62106994</v>
      </c>
      <c r="F37" s="219">
        <v>29727</v>
      </c>
      <c r="G37" s="93">
        <v>30100</v>
      </c>
      <c r="H37" s="93">
        <v>2327</v>
      </c>
      <c r="I37" s="93">
        <v>5345</v>
      </c>
      <c r="J37" s="93">
        <v>2170</v>
      </c>
      <c r="K37" s="108">
        <f>(F37*138.66)*SUM(1,Macrogegevens!$C$4,0.5*Macrogegevens!$C$6,Macrogegevens!$C$8)</f>
        <v>4207270.0984740006</v>
      </c>
      <c r="L37" s="108">
        <f t="shared" si="7"/>
        <v>1454489.35</v>
      </c>
      <c r="M37" s="108">
        <v>5646301.7856129818</v>
      </c>
      <c r="N37" s="108">
        <v>3073252.3658543001</v>
      </c>
      <c r="O37" s="108">
        <v>0</v>
      </c>
      <c r="P37" s="108">
        <f t="shared" si="2"/>
        <v>8719554.1514672823</v>
      </c>
      <c r="Q37" s="108">
        <v>57148274</v>
      </c>
      <c r="R37" s="155">
        <v>1098.8703422694318</v>
      </c>
      <c r="S37" s="122">
        <v>0.1166</v>
      </c>
      <c r="T37" s="122">
        <v>0.217</v>
      </c>
      <c r="U37" s="122">
        <v>0.16930000000000001</v>
      </c>
      <c r="V37" s="122" t="s">
        <v>515</v>
      </c>
      <c r="W37" s="108">
        <v>2497200000</v>
      </c>
      <c r="X37" s="108">
        <v>384650000</v>
      </c>
      <c r="Y37" s="108">
        <v>437150000</v>
      </c>
      <c r="Z37" s="108">
        <f t="shared" si="3"/>
        <v>2911735.1999999997</v>
      </c>
      <c r="AA37" s="108">
        <f t="shared" si="4"/>
        <v>1574785.4500000002</v>
      </c>
      <c r="AB37" s="108">
        <f t="shared" si="5"/>
        <v>5941010</v>
      </c>
      <c r="AC37" s="108">
        <f t="shared" si="6"/>
        <v>1454489.35</v>
      </c>
    </row>
    <row r="38" spans="1:29" x14ac:dyDescent="0.2">
      <c r="A38" s="124" t="s">
        <v>516</v>
      </c>
      <c r="B38" s="99">
        <f t="shared" si="0"/>
        <v>3.7234227650763826E-3</v>
      </c>
      <c r="C38" t="s">
        <v>228</v>
      </c>
      <c r="D38" s="99">
        <f t="shared" si="1"/>
        <v>2.7880063124671225E-2</v>
      </c>
      <c r="E38" s="123">
        <v>64135772</v>
      </c>
      <c r="F38" s="219">
        <v>28737</v>
      </c>
      <c r="G38" s="93">
        <v>29700</v>
      </c>
      <c r="H38" s="93">
        <v>1901</v>
      </c>
      <c r="I38" s="93">
        <v>4570</v>
      </c>
      <c r="J38" s="93">
        <v>1795</v>
      </c>
      <c r="K38" s="108">
        <f>(F38*138.66)*SUM(1,Macrogegevens!$C$4,0.5*Macrogegevens!$C$6,Macrogegevens!$C$8)</f>
        <v>4067155.1390940007</v>
      </c>
      <c r="L38" s="108">
        <f t="shared" si="7"/>
        <v>2602353.7000000002</v>
      </c>
      <c r="M38" s="108">
        <v>4246276.5932032447</v>
      </c>
      <c r="N38" s="108">
        <v>2821422.2950966237</v>
      </c>
      <c r="O38" s="108">
        <v>0</v>
      </c>
      <c r="P38" s="108">
        <f t="shared" si="2"/>
        <v>7067698.8882998684</v>
      </c>
      <c r="Q38" s="108">
        <v>69777468</v>
      </c>
      <c r="R38" s="155">
        <v>382.86187959796911</v>
      </c>
      <c r="S38" s="122">
        <v>9.2999999999999999E-2</v>
      </c>
      <c r="T38" s="122">
        <v>0.14779999999999999</v>
      </c>
      <c r="U38" s="122">
        <v>0.1193</v>
      </c>
      <c r="V38" s="122" t="s">
        <v>516</v>
      </c>
      <c r="W38" s="108">
        <v>2463200000</v>
      </c>
      <c r="X38" s="108">
        <v>523949999.99999994</v>
      </c>
      <c r="Y38" s="108">
        <v>536900000</v>
      </c>
      <c r="Z38" s="108">
        <f t="shared" si="3"/>
        <v>2290776</v>
      </c>
      <c r="AA38" s="108">
        <f t="shared" si="4"/>
        <v>1414919.7999999998</v>
      </c>
      <c r="AB38" s="108">
        <f t="shared" si="5"/>
        <v>6308049.5</v>
      </c>
      <c r="AC38" s="108">
        <f t="shared" si="6"/>
        <v>2602353.7000000002</v>
      </c>
    </row>
    <row r="39" spans="1:29" x14ac:dyDescent="0.2">
      <c r="A39" s="124" t="s">
        <v>303</v>
      </c>
      <c r="B39" s="99">
        <f t="shared" si="0"/>
        <v>-4.2988633066962049E-3</v>
      </c>
      <c r="C39" t="s">
        <v>689</v>
      </c>
      <c r="D39" s="99">
        <f t="shared" si="1"/>
        <v>4.4136597938144333E-2</v>
      </c>
      <c r="E39" s="123">
        <v>49615937</v>
      </c>
      <c r="F39" s="219">
        <v>25278</v>
      </c>
      <c r="G39" s="93">
        <v>24300</v>
      </c>
      <c r="H39" s="93">
        <v>1552</v>
      </c>
      <c r="I39" s="93">
        <v>3705</v>
      </c>
      <c r="J39" s="93">
        <v>1415</v>
      </c>
      <c r="K39" s="108">
        <f>(F39*138.66)*SUM(1,Macrogegevens!$C$4,0.5*Macrogegevens!$C$6,Macrogegevens!$C$8)</f>
        <v>3577601.9628360006</v>
      </c>
      <c r="L39" s="108">
        <f t="shared" si="7"/>
        <v>0</v>
      </c>
      <c r="M39" s="108">
        <v>5615496.1561753871</v>
      </c>
      <c r="N39" s="108">
        <v>2735835.9104116266</v>
      </c>
      <c r="O39" s="108">
        <v>0</v>
      </c>
      <c r="P39" s="108">
        <f t="shared" si="2"/>
        <v>8351332.0665870141</v>
      </c>
      <c r="Q39" s="108">
        <v>46426474</v>
      </c>
      <c r="R39" s="155">
        <v>3765.904006907107</v>
      </c>
      <c r="S39" s="122">
        <v>0.16756099999999999</v>
      </c>
      <c r="T39" s="122">
        <v>0.38084899999999999</v>
      </c>
      <c r="U39" s="122">
        <v>0.31519399999999997</v>
      </c>
      <c r="V39" s="122" t="s">
        <v>303</v>
      </c>
      <c r="W39" s="108">
        <v>1952000000</v>
      </c>
      <c r="X39" s="108">
        <v>292600000</v>
      </c>
      <c r="Y39" s="108">
        <v>311500000</v>
      </c>
      <c r="Z39" s="108">
        <f t="shared" si="3"/>
        <v>3270790.7199999997</v>
      </c>
      <c r="AA39" s="108">
        <f t="shared" si="4"/>
        <v>2096193.4839999997</v>
      </c>
      <c r="AB39" s="108">
        <f t="shared" si="5"/>
        <v>4575419</v>
      </c>
      <c r="AC39" s="108">
        <f t="shared" si="6"/>
        <v>-791565.20399999944</v>
      </c>
    </row>
    <row r="40" spans="1:29" x14ac:dyDescent="0.2">
      <c r="A40" s="124" t="s">
        <v>385</v>
      </c>
      <c r="B40" s="99">
        <f t="shared" si="0"/>
        <v>8.092575076196323E-3</v>
      </c>
      <c r="C40" t="s">
        <v>621</v>
      </c>
      <c r="D40" s="99">
        <f t="shared" si="1"/>
        <v>1.4925373134328358E-2</v>
      </c>
      <c r="E40" s="123">
        <v>96166600</v>
      </c>
      <c r="F40" s="219">
        <v>40174</v>
      </c>
      <c r="G40" s="93">
        <v>43100</v>
      </c>
      <c r="H40" s="93">
        <v>2814</v>
      </c>
      <c r="I40" s="93">
        <v>7230</v>
      </c>
      <c r="J40" s="93">
        <v>2730</v>
      </c>
      <c r="K40" s="108">
        <f>(F40*138.66)*SUM(1,Macrogegevens!$C$4,0.5*Macrogegevens!$C$6,Macrogegevens!$C$8)</f>
        <v>5685836.7455880009</v>
      </c>
      <c r="L40" s="108">
        <f t="shared" si="7"/>
        <v>972231.75</v>
      </c>
      <c r="M40" s="108">
        <v>7849301.2316974122</v>
      </c>
      <c r="N40" s="108">
        <v>4453263.2466098452</v>
      </c>
      <c r="O40" s="108">
        <v>0</v>
      </c>
      <c r="P40" s="108">
        <f t="shared" si="2"/>
        <v>12302564.478307258</v>
      </c>
      <c r="Q40" s="108">
        <v>94334700</v>
      </c>
      <c r="R40" s="155">
        <v>1403.6468379497467</v>
      </c>
      <c r="S40" s="122">
        <v>0.1258</v>
      </c>
      <c r="T40" s="122">
        <v>0.23119999999999999</v>
      </c>
      <c r="U40" s="122">
        <v>0.18990000000000001</v>
      </c>
      <c r="V40" s="122" t="s">
        <v>385</v>
      </c>
      <c r="W40" s="108">
        <v>2651600000</v>
      </c>
      <c r="X40" s="108">
        <v>693350000</v>
      </c>
      <c r="Y40" s="108">
        <v>701750000</v>
      </c>
      <c r="Z40" s="108">
        <f t="shared" si="3"/>
        <v>3335712.8</v>
      </c>
      <c r="AA40" s="108">
        <f t="shared" si="4"/>
        <v>2935648.45</v>
      </c>
      <c r="AB40" s="108">
        <f t="shared" si="5"/>
        <v>7243593</v>
      </c>
      <c r="AC40" s="108">
        <f t="shared" si="6"/>
        <v>972231.75</v>
      </c>
    </row>
    <row r="41" spans="1:29" x14ac:dyDescent="0.2">
      <c r="A41" s="124" t="s">
        <v>438</v>
      </c>
      <c r="B41" s="99">
        <f t="shared" si="0"/>
        <v>2.4851607600482298E-3</v>
      </c>
      <c r="C41" t="s">
        <v>689</v>
      </c>
      <c r="D41" s="99">
        <f t="shared" si="1"/>
        <v>3.6466358500256806E-2</v>
      </c>
      <c r="E41" s="123">
        <v>47088000</v>
      </c>
      <c r="F41" s="219">
        <v>28659</v>
      </c>
      <c r="G41" s="93">
        <v>29300</v>
      </c>
      <c r="H41" s="93">
        <v>1947</v>
      </c>
      <c r="I41" s="93">
        <v>4645</v>
      </c>
      <c r="J41" s="93">
        <v>1805</v>
      </c>
      <c r="K41" s="108">
        <f>(F41*138.66)*SUM(1,Macrogegevens!$C$4,0.5*Macrogegevens!$C$6,Macrogegevens!$C$8)</f>
        <v>4056115.7786580008</v>
      </c>
      <c r="L41" s="108">
        <f t="shared" si="7"/>
        <v>1757625.7000000002</v>
      </c>
      <c r="M41" s="108">
        <v>4539281.4072781336</v>
      </c>
      <c r="N41" s="108">
        <v>3195643.4417346003</v>
      </c>
      <c r="O41" s="108">
        <v>0</v>
      </c>
      <c r="P41" s="108">
        <f t="shared" si="2"/>
        <v>7734924.8490127344</v>
      </c>
      <c r="Q41" s="108">
        <v>47825000</v>
      </c>
      <c r="R41" s="155">
        <v>532.9115674479707</v>
      </c>
      <c r="S41" s="122">
        <v>9.3899999999999997E-2</v>
      </c>
      <c r="T41" s="122">
        <v>0.21840000000000001</v>
      </c>
      <c r="U41" s="122">
        <v>0.18440000000000001</v>
      </c>
      <c r="V41" s="122" t="s">
        <v>438</v>
      </c>
      <c r="W41" s="108">
        <v>2274800000</v>
      </c>
      <c r="X41" s="108">
        <v>395850000</v>
      </c>
      <c r="Y41" s="108">
        <v>412300000</v>
      </c>
      <c r="Z41" s="108">
        <f t="shared" si="3"/>
        <v>2136037.1999999997</v>
      </c>
      <c r="AA41" s="108">
        <f t="shared" si="4"/>
        <v>1624817.6</v>
      </c>
      <c r="AB41" s="108">
        <f t="shared" si="5"/>
        <v>5518480.5</v>
      </c>
      <c r="AC41" s="108">
        <f t="shared" si="6"/>
        <v>1757625.7000000002</v>
      </c>
    </row>
    <row r="42" spans="1:29" x14ac:dyDescent="0.2">
      <c r="A42" s="124" t="s">
        <v>517</v>
      </c>
      <c r="B42" s="99">
        <f t="shared" si="0"/>
        <v>-3.9143320471956607E-4</v>
      </c>
      <c r="C42" t="s">
        <v>689</v>
      </c>
      <c r="D42" s="99">
        <f t="shared" si="1"/>
        <v>3.6098796706776438E-2</v>
      </c>
      <c r="E42" s="123">
        <v>41062000</v>
      </c>
      <c r="F42" s="219">
        <v>19870</v>
      </c>
      <c r="G42" s="93">
        <v>19800</v>
      </c>
      <c r="H42" s="93">
        <v>1579</v>
      </c>
      <c r="I42" s="93">
        <v>3860</v>
      </c>
      <c r="J42" s="93">
        <v>1465</v>
      </c>
      <c r="K42" s="108">
        <f>(F42*138.66)*SUM(1,Macrogegevens!$C$4,0.5*Macrogegevens!$C$6,Macrogegevens!$C$8)</f>
        <v>2812206.3059400003</v>
      </c>
      <c r="L42" s="108">
        <f t="shared" si="7"/>
        <v>1834107.5</v>
      </c>
      <c r="M42" s="108">
        <v>3164547.753135019</v>
      </c>
      <c r="N42" s="108">
        <v>2259122.3042927543</v>
      </c>
      <c r="O42" s="108">
        <v>0</v>
      </c>
      <c r="P42" s="108">
        <f t="shared" si="2"/>
        <v>5423670.0574277733</v>
      </c>
      <c r="Q42" s="108">
        <v>41878000</v>
      </c>
      <c r="R42" s="155">
        <v>1151.2749648015852</v>
      </c>
      <c r="S42" s="122">
        <v>9.3899999999999997E-2</v>
      </c>
      <c r="T42" s="122">
        <v>0.1434</v>
      </c>
      <c r="U42" s="122">
        <v>0.1288</v>
      </c>
      <c r="V42" s="122" t="s">
        <v>517</v>
      </c>
      <c r="W42" s="108">
        <v>1739600000</v>
      </c>
      <c r="X42" s="108">
        <v>390950000</v>
      </c>
      <c r="Y42" s="108">
        <v>427350000</v>
      </c>
      <c r="Z42" s="108">
        <f t="shared" si="3"/>
        <v>1633484.4</v>
      </c>
      <c r="AA42" s="108">
        <f t="shared" si="4"/>
        <v>1111049.1000000001</v>
      </c>
      <c r="AB42" s="108">
        <f t="shared" si="5"/>
        <v>4578641</v>
      </c>
      <c r="AC42" s="108">
        <f t="shared" si="6"/>
        <v>1834107.5</v>
      </c>
    </row>
    <row r="43" spans="1:29" x14ac:dyDescent="0.2">
      <c r="A43" s="124" t="s">
        <v>386</v>
      </c>
      <c r="B43" s="99">
        <f t="shared" si="0"/>
        <v>-2.5529072125593491E-3</v>
      </c>
      <c r="C43" t="s">
        <v>689</v>
      </c>
      <c r="D43" s="99">
        <f t="shared" si="1"/>
        <v>3.3536585365853661E-2</v>
      </c>
      <c r="E43" s="123">
        <v>23193164</v>
      </c>
      <c r="F43" s="219">
        <v>9314</v>
      </c>
      <c r="G43" s="93">
        <v>9100</v>
      </c>
      <c r="H43" s="93">
        <v>820</v>
      </c>
      <c r="I43" s="93">
        <v>2120</v>
      </c>
      <c r="J43" s="93">
        <v>765</v>
      </c>
      <c r="K43" s="108">
        <f>(F43*138.66)*SUM(1,Macrogegevens!$C$4,0.5*Macrogegevens!$C$6,Macrogegevens!$C$8)</f>
        <v>1318212.8602680003</v>
      </c>
      <c r="L43" s="108">
        <f t="shared" si="7"/>
        <v>874722.70200000005</v>
      </c>
      <c r="M43" s="108">
        <v>1143597.7324714139</v>
      </c>
      <c r="N43" s="108">
        <v>1018054.4209841226</v>
      </c>
      <c r="O43" s="108">
        <v>0</v>
      </c>
      <c r="P43" s="108">
        <f t="shared" si="2"/>
        <v>2161652.1534555363</v>
      </c>
      <c r="Q43" s="108">
        <v>24049601</v>
      </c>
      <c r="R43" s="155">
        <v>2326.5214963707426</v>
      </c>
      <c r="S43" s="122">
        <v>0.11602800000000001</v>
      </c>
      <c r="T43" s="122">
        <v>0.31502000000000002</v>
      </c>
      <c r="U43" s="122">
        <v>0.25156000000000001</v>
      </c>
      <c r="V43" s="122" t="s">
        <v>386</v>
      </c>
      <c r="W43" s="108">
        <v>1823600000</v>
      </c>
      <c r="X43" s="108">
        <v>129849999.99999999</v>
      </c>
      <c r="Y43" s="108">
        <v>133699999.99999999</v>
      </c>
      <c r="Z43" s="108">
        <f t="shared" si="3"/>
        <v>2115886.608</v>
      </c>
      <c r="AA43" s="108">
        <f t="shared" si="4"/>
        <v>745389.19</v>
      </c>
      <c r="AB43" s="108">
        <f t="shared" si="5"/>
        <v>3735998.5</v>
      </c>
      <c r="AC43" s="108">
        <f t="shared" si="6"/>
        <v>874722.70200000005</v>
      </c>
    </row>
    <row r="44" spans="1:29" x14ac:dyDescent="0.2">
      <c r="A44" s="124" t="s">
        <v>387</v>
      </c>
      <c r="B44" s="99">
        <f t="shared" si="0"/>
        <v>-1.1298758334331457E-2</v>
      </c>
      <c r="C44" t="s">
        <v>689</v>
      </c>
      <c r="D44" s="99">
        <f t="shared" si="1"/>
        <v>2.9360967184801381E-2</v>
      </c>
      <c r="E44" s="123">
        <v>40917000</v>
      </c>
      <c r="F44" s="219">
        <v>22264</v>
      </c>
      <c r="G44" s="93">
        <v>20000</v>
      </c>
      <c r="H44" s="93">
        <v>1737</v>
      </c>
      <c r="I44" s="93">
        <v>4490</v>
      </c>
      <c r="J44" s="93">
        <v>1635</v>
      </c>
      <c r="K44" s="108">
        <f>(F44*138.66)*SUM(1,Macrogegevens!$C$4,0.5*Macrogegevens!$C$6,Macrogegevens!$C$8)</f>
        <v>3151029.7531680004</v>
      </c>
      <c r="L44" s="108">
        <f t="shared" si="7"/>
        <v>2866800.3</v>
      </c>
      <c r="M44" s="108">
        <v>2093491.4477828946</v>
      </c>
      <c r="N44" s="108">
        <v>1907322.969016626</v>
      </c>
      <c r="O44" s="108">
        <v>0</v>
      </c>
      <c r="P44" s="108">
        <f t="shared" si="2"/>
        <v>4000814.4167995206</v>
      </c>
      <c r="Q44" s="108">
        <v>39688000</v>
      </c>
      <c r="R44" s="155">
        <v>850.42909685328971</v>
      </c>
      <c r="S44" s="122">
        <v>0.1062</v>
      </c>
      <c r="T44" s="122">
        <v>0.22339999999999999</v>
      </c>
      <c r="U44" s="122">
        <v>0.1943</v>
      </c>
      <c r="V44" s="122" t="s">
        <v>387</v>
      </c>
      <c r="W44" s="108">
        <v>4147200000</v>
      </c>
      <c r="X44" s="108">
        <v>252699999.99999997</v>
      </c>
      <c r="Y44" s="108">
        <v>262499999.99999997</v>
      </c>
      <c r="Z44" s="108">
        <f t="shared" si="3"/>
        <v>4404326.4000000004</v>
      </c>
      <c r="AA44" s="108">
        <f t="shared" si="4"/>
        <v>1074569.2999999998</v>
      </c>
      <c r="AB44" s="108">
        <f t="shared" si="5"/>
        <v>8345696</v>
      </c>
      <c r="AC44" s="108">
        <f t="shared" si="6"/>
        <v>2866800.3</v>
      </c>
    </row>
    <row r="45" spans="1:29" x14ac:dyDescent="0.2">
      <c r="A45" s="124" t="s">
        <v>439</v>
      </c>
      <c r="B45" s="99">
        <f t="shared" si="0"/>
        <v>-6.8929979187161623E-4</v>
      </c>
      <c r="C45" t="s">
        <v>689</v>
      </c>
      <c r="D45" s="99">
        <f t="shared" si="1"/>
        <v>-1.1653313911143482E-2</v>
      </c>
      <c r="E45" s="123">
        <v>80649000</v>
      </c>
      <c r="F45" s="219">
        <v>33206</v>
      </c>
      <c r="G45" s="93">
        <v>33000</v>
      </c>
      <c r="H45" s="93">
        <v>2746</v>
      </c>
      <c r="I45" s="93">
        <v>6550</v>
      </c>
      <c r="J45" s="93">
        <v>2810</v>
      </c>
      <c r="K45" s="108">
        <f>(F45*138.66)*SUM(1,Macrogegevens!$C$4,0.5*Macrogegevens!$C$6,Macrogegevens!$C$8)</f>
        <v>4699653.8799720006</v>
      </c>
      <c r="L45" s="108">
        <f t="shared" si="7"/>
        <v>1037251.3499999996</v>
      </c>
      <c r="M45" s="108">
        <v>6557821.6083205594</v>
      </c>
      <c r="N45" s="108">
        <v>2541810.4009685745</v>
      </c>
      <c r="O45" s="108">
        <v>0</v>
      </c>
      <c r="P45" s="108">
        <f t="shared" si="2"/>
        <v>9099632.0092891343</v>
      </c>
      <c r="Q45" s="108">
        <v>95086000</v>
      </c>
      <c r="R45" s="155">
        <v>2796.3823176546589</v>
      </c>
      <c r="S45" s="122">
        <v>0.13950000000000001</v>
      </c>
      <c r="T45" s="122">
        <v>0.21920000000000001</v>
      </c>
      <c r="U45" s="122">
        <v>0.16930000000000001</v>
      </c>
      <c r="V45" s="122" t="s">
        <v>439</v>
      </c>
      <c r="W45" s="108">
        <v>2969200000</v>
      </c>
      <c r="X45" s="108">
        <v>447650000</v>
      </c>
      <c r="Y45" s="108">
        <v>457450000</v>
      </c>
      <c r="Z45" s="108">
        <f t="shared" si="3"/>
        <v>4142034.0000000005</v>
      </c>
      <c r="AA45" s="108">
        <f t="shared" si="4"/>
        <v>1755711.65</v>
      </c>
      <c r="AB45" s="108">
        <f t="shared" si="5"/>
        <v>6934997</v>
      </c>
      <c r="AC45" s="108">
        <f t="shared" si="6"/>
        <v>1037251.3499999996</v>
      </c>
    </row>
    <row r="46" spans="1:29" x14ac:dyDescent="0.2">
      <c r="A46" s="124" t="s">
        <v>518</v>
      </c>
      <c r="B46" s="99">
        <f t="shared" si="0"/>
        <v>4.1379915923035549E-3</v>
      </c>
      <c r="C46" t="s">
        <v>689</v>
      </c>
      <c r="D46" s="99">
        <f t="shared" si="1"/>
        <v>2.9069767441860465E-2</v>
      </c>
      <c r="E46" s="123">
        <v>17303818</v>
      </c>
      <c r="F46" s="219">
        <v>10123</v>
      </c>
      <c r="G46" s="93">
        <v>10500</v>
      </c>
      <c r="H46" s="93">
        <v>860</v>
      </c>
      <c r="I46" s="93">
        <v>1965</v>
      </c>
      <c r="J46" s="93">
        <v>810</v>
      </c>
      <c r="K46" s="108">
        <f>(F46*138.66)*SUM(1,Macrogegevens!$C$4,0.5*Macrogegevens!$C$6,Macrogegevens!$C$8)</f>
        <v>1432710.8422260003</v>
      </c>
      <c r="L46" s="108">
        <f t="shared" si="7"/>
        <v>658337.6100000001</v>
      </c>
      <c r="M46" s="108">
        <v>1907351.8555458116</v>
      </c>
      <c r="N46" s="108">
        <v>1269477.3811252946</v>
      </c>
      <c r="O46" s="108">
        <v>0</v>
      </c>
      <c r="P46" s="108">
        <f t="shared" si="2"/>
        <v>3176829.236671106</v>
      </c>
      <c r="Q46" s="108">
        <v>18349584</v>
      </c>
      <c r="R46" s="155">
        <v>2945.0470732705689</v>
      </c>
      <c r="S46" s="122">
        <v>0.11719</v>
      </c>
      <c r="T46" s="122">
        <v>0.15409</v>
      </c>
      <c r="U46" s="122">
        <v>0.11168</v>
      </c>
      <c r="V46" s="122" t="s">
        <v>518</v>
      </c>
      <c r="W46" s="108">
        <v>753600000</v>
      </c>
      <c r="X46" s="108">
        <v>182700000</v>
      </c>
      <c r="Y46" s="108">
        <v>218400000</v>
      </c>
      <c r="Z46" s="108">
        <f t="shared" si="3"/>
        <v>883143.84</v>
      </c>
      <c r="AA46" s="108">
        <f t="shared" si="4"/>
        <v>525431.55000000005</v>
      </c>
      <c r="AB46" s="108">
        <f t="shared" si="5"/>
        <v>2066913</v>
      </c>
      <c r="AC46" s="108">
        <f t="shared" si="6"/>
        <v>658337.6100000001</v>
      </c>
    </row>
    <row r="47" spans="1:29" x14ac:dyDescent="0.2">
      <c r="A47" s="124" t="s">
        <v>218</v>
      </c>
      <c r="B47" s="99">
        <f t="shared" si="0"/>
        <v>-5.6768920432018893E-3</v>
      </c>
      <c r="C47" t="s">
        <v>228</v>
      </c>
      <c r="D47" s="99">
        <f t="shared" si="1"/>
        <v>2.4971297359357061E-2</v>
      </c>
      <c r="E47" s="123">
        <v>57200156</v>
      </c>
      <c r="F47" s="219">
        <v>25503</v>
      </c>
      <c r="G47" s="93">
        <v>24200</v>
      </c>
      <c r="H47" s="93">
        <v>1742</v>
      </c>
      <c r="I47" s="93">
        <v>3850</v>
      </c>
      <c r="J47" s="93">
        <v>1655</v>
      </c>
      <c r="K47" s="108">
        <f>(F47*138.66)*SUM(1,Macrogegevens!$C$4,0.5*Macrogegevens!$C$6,Macrogegevens!$C$8)</f>
        <v>3609446.2717860006</v>
      </c>
      <c r="L47" s="108">
        <f t="shared" si="7"/>
        <v>0</v>
      </c>
      <c r="M47" s="108">
        <v>5980303.8692430742</v>
      </c>
      <c r="N47" s="108">
        <v>3065907.1556760482</v>
      </c>
      <c r="O47" s="108">
        <v>0</v>
      </c>
      <c r="P47" s="108">
        <f t="shared" si="2"/>
        <v>9046211.0249191225</v>
      </c>
      <c r="Q47" s="108">
        <v>58221056</v>
      </c>
      <c r="R47" s="155">
        <v>1482.7017490027615</v>
      </c>
      <c r="S47" s="122">
        <v>0.19339999999999999</v>
      </c>
      <c r="T47" s="122">
        <v>0.19339999999999999</v>
      </c>
      <c r="U47" s="122">
        <v>0.1195</v>
      </c>
      <c r="V47" s="122" t="s">
        <v>218</v>
      </c>
      <c r="W47" s="108">
        <v>1610400000</v>
      </c>
      <c r="X47" s="108">
        <v>294700000</v>
      </c>
      <c r="Y47" s="108">
        <v>336350000</v>
      </c>
      <c r="Z47" s="108">
        <f t="shared" si="3"/>
        <v>3114513.6</v>
      </c>
      <c r="AA47" s="108">
        <f t="shared" si="4"/>
        <v>971888.04999999981</v>
      </c>
      <c r="AB47" s="108">
        <f t="shared" si="5"/>
        <v>4012195.5</v>
      </c>
      <c r="AC47" s="108">
        <f t="shared" si="6"/>
        <v>-74206.149999999907</v>
      </c>
    </row>
    <row r="48" spans="1:29" x14ac:dyDescent="0.2">
      <c r="A48" s="124" t="s">
        <v>275</v>
      </c>
      <c r="B48" s="99">
        <f t="shared" si="0"/>
        <v>1.2177252286392805E-2</v>
      </c>
      <c r="C48" t="s">
        <v>689</v>
      </c>
      <c r="D48" s="99">
        <f t="shared" si="1"/>
        <v>6.9088319088319083E-2</v>
      </c>
      <c r="E48" s="123">
        <v>53188000</v>
      </c>
      <c r="F48" s="219">
        <v>21990</v>
      </c>
      <c r="G48" s="93">
        <v>24400</v>
      </c>
      <c r="H48" s="93">
        <v>1404</v>
      </c>
      <c r="I48" s="93">
        <v>2860</v>
      </c>
      <c r="J48" s="93">
        <v>1210</v>
      </c>
      <c r="K48" s="108">
        <f>(F48*138.66)*SUM(1,Macrogegevens!$C$4,0.5*Macrogegevens!$C$6,Macrogegevens!$C$8)</f>
        <v>3112250.4613800002</v>
      </c>
      <c r="L48" s="108">
        <f t="shared" si="7"/>
        <v>112029.35000000033</v>
      </c>
      <c r="M48" s="108">
        <v>3999927.8097243863</v>
      </c>
      <c r="N48" s="108">
        <v>4097446.1341546308</v>
      </c>
      <c r="O48" s="108">
        <v>0</v>
      </c>
      <c r="P48" s="108">
        <f t="shared" si="2"/>
        <v>8097373.9438790176</v>
      </c>
      <c r="Q48" s="108">
        <v>52345000</v>
      </c>
      <c r="R48" s="155">
        <v>6389.1701828410687</v>
      </c>
      <c r="S48" s="122">
        <v>0.15229999999999999</v>
      </c>
      <c r="T48" s="122">
        <v>0.27210000000000001</v>
      </c>
      <c r="U48" s="122">
        <v>0.2175</v>
      </c>
      <c r="V48" s="122" t="s">
        <v>275</v>
      </c>
      <c r="W48" s="108">
        <v>1486400000</v>
      </c>
      <c r="X48" s="108">
        <v>212450000</v>
      </c>
      <c r="Y48" s="108">
        <v>226100000</v>
      </c>
      <c r="Z48" s="108">
        <f t="shared" si="3"/>
        <v>2263787.1999999997</v>
      </c>
      <c r="AA48" s="108">
        <f t="shared" si="4"/>
        <v>1069843.95</v>
      </c>
      <c r="AB48" s="108">
        <f t="shared" si="5"/>
        <v>3445660.5</v>
      </c>
      <c r="AC48" s="108">
        <f t="shared" si="6"/>
        <v>112029.35000000033</v>
      </c>
    </row>
    <row r="49" spans="1:29" x14ac:dyDescent="0.2">
      <c r="A49" s="124" t="s">
        <v>496</v>
      </c>
      <c r="B49" s="99">
        <f t="shared" si="0"/>
        <v>-3.3969899714948233E-4</v>
      </c>
      <c r="C49" t="s">
        <v>689</v>
      </c>
      <c r="D49" s="99">
        <f t="shared" si="1"/>
        <v>4.8425430778371956E-2</v>
      </c>
      <c r="E49" s="123">
        <v>45089264</v>
      </c>
      <c r="F49" s="219">
        <v>22569</v>
      </c>
      <c r="G49" s="93">
        <v>22500</v>
      </c>
      <c r="H49" s="93">
        <v>1683</v>
      </c>
      <c r="I49" s="93">
        <v>3465</v>
      </c>
      <c r="J49" s="93">
        <v>1520</v>
      </c>
      <c r="K49" s="108">
        <f>(F49*138.66)*SUM(1,Macrogegevens!$C$4,0.5*Macrogegevens!$C$6,Macrogegevens!$C$8)</f>
        <v>3194196.4830780006</v>
      </c>
      <c r="L49" s="108">
        <f t="shared" si="7"/>
        <v>508206</v>
      </c>
      <c r="M49" s="108">
        <v>5287072.4941313313</v>
      </c>
      <c r="N49" s="108">
        <v>2468233.333515943</v>
      </c>
      <c r="O49" s="108">
        <v>0</v>
      </c>
      <c r="P49" s="108">
        <f t="shared" si="2"/>
        <v>7755305.8276472744</v>
      </c>
      <c r="Q49" s="108">
        <v>43943172</v>
      </c>
      <c r="R49" s="155">
        <v>986.95729065346188</v>
      </c>
      <c r="S49" s="122">
        <v>0.1236</v>
      </c>
      <c r="T49" s="122">
        <v>0.21479999999999999</v>
      </c>
      <c r="U49" s="122">
        <v>0.1893</v>
      </c>
      <c r="V49" s="122" t="s">
        <v>496</v>
      </c>
      <c r="W49" s="108">
        <v>1585200000</v>
      </c>
      <c r="X49" s="108">
        <v>794850000</v>
      </c>
      <c r="Y49" s="108">
        <v>829500000</v>
      </c>
      <c r="Z49" s="108">
        <f t="shared" si="3"/>
        <v>1959307.2000000002</v>
      </c>
      <c r="AA49" s="108">
        <f t="shared" si="4"/>
        <v>3277581.3</v>
      </c>
      <c r="AB49" s="108">
        <f t="shared" si="5"/>
        <v>5745094.5</v>
      </c>
      <c r="AC49" s="108">
        <f t="shared" si="6"/>
        <v>508206</v>
      </c>
    </row>
    <row r="50" spans="1:29" x14ac:dyDescent="0.2">
      <c r="A50" s="124" t="s">
        <v>519</v>
      </c>
      <c r="B50" s="99">
        <f t="shared" si="0"/>
        <v>1.4630721376935236E-3</v>
      </c>
      <c r="C50" t="s">
        <v>228</v>
      </c>
      <c r="D50" s="99">
        <f t="shared" si="1"/>
        <v>4.4125465178096755E-2</v>
      </c>
      <c r="E50" s="123">
        <v>62762630</v>
      </c>
      <c r="F50" s="219">
        <v>28327</v>
      </c>
      <c r="G50" s="93">
        <v>28700</v>
      </c>
      <c r="H50" s="93">
        <v>1881</v>
      </c>
      <c r="I50" s="93">
        <v>4065</v>
      </c>
      <c r="J50" s="93">
        <v>1715</v>
      </c>
      <c r="K50" s="108">
        <f>(F50*138.66)*SUM(1,Macrogegevens!$C$4,0.5*Macrogegevens!$C$6,Macrogegevens!$C$8)</f>
        <v>4009127.7316740006</v>
      </c>
      <c r="L50" s="108">
        <f t="shared" si="7"/>
        <v>1707202</v>
      </c>
      <c r="M50" s="108">
        <v>6179299.1977939373</v>
      </c>
      <c r="N50" s="108">
        <v>3260309.9287813483</v>
      </c>
      <c r="O50" s="108">
        <v>0</v>
      </c>
      <c r="P50" s="108">
        <f t="shared" si="2"/>
        <v>9439609.1265752856</v>
      </c>
      <c r="Q50" s="108">
        <v>63935131</v>
      </c>
      <c r="R50" s="155">
        <v>2239.825021872266</v>
      </c>
      <c r="S50" s="122">
        <v>0.1074</v>
      </c>
      <c r="T50" s="122">
        <v>0.19320000000000001</v>
      </c>
      <c r="U50" s="122">
        <v>0.15140000000000001</v>
      </c>
      <c r="V50" s="122" t="s">
        <v>519</v>
      </c>
      <c r="W50" s="108">
        <v>2265200000</v>
      </c>
      <c r="X50" s="108">
        <v>501899999.99999994</v>
      </c>
      <c r="Y50" s="108">
        <v>567350000</v>
      </c>
      <c r="Z50" s="108">
        <f t="shared" si="3"/>
        <v>2432824.7999999998</v>
      </c>
      <c r="AA50" s="108">
        <f t="shared" si="4"/>
        <v>1828638.7000000002</v>
      </c>
      <c r="AB50" s="108">
        <f t="shared" si="5"/>
        <v>5968665.5</v>
      </c>
      <c r="AC50" s="108">
        <f t="shared" si="6"/>
        <v>1707202</v>
      </c>
    </row>
    <row r="51" spans="1:29" x14ac:dyDescent="0.2">
      <c r="A51" s="124" t="s">
        <v>520</v>
      </c>
      <c r="B51" s="99">
        <f t="shared" si="0"/>
        <v>-5.0906240958648746E-4</v>
      </c>
      <c r="C51" t="s">
        <v>228</v>
      </c>
      <c r="D51" s="99">
        <f t="shared" si="1"/>
        <v>3.4277198211624442E-2</v>
      </c>
      <c r="E51" s="123">
        <v>67627000</v>
      </c>
      <c r="F51" s="219">
        <v>30339</v>
      </c>
      <c r="G51" s="93">
        <v>30200</v>
      </c>
      <c r="H51" s="93">
        <v>2013</v>
      </c>
      <c r="I51" s="93">
        <v>4795</v>
      </c>
      <c r="J51" s="93">
        <v>1875</v>
      </c>
      <c r="K51" s="108">
        <f>(F51*138.66)*SUM(1,Macrogegevens!$C$4,0.5*Macrogegevens!$C$6,Macrogegevens!$C$8)</f>
        <v>4293886.6188180009</v>
      </c>
      <c r="L51" s="108">
        <f t="shared" si="7"/>
        <v>1559645.9500000002</v>
      </c>
      <c r="M51" s="108">
        <v>8272711.732745247</v>
      </c>
      <c r="N51" s="108">
        <v>4466617.9639311163</v>
      </c>
      <c r="O51" s="108">
        <v>0</v>
      </c>
      <c r="P51" s="108">
        <f t="shared" si="2"/>
        <v>12739329.696676362</v>
      </c>
      <c r="Q51" s="108">
        <v>69655000</v>
      </c>
      <c r="R51" s="155">
        <v>1750.2312062359624</v>
      </c>
      <c r="S51" s="122">
        <v>0.1166</v>
      </c>
      <c r="T51" s="122">
        <v>0.19670000000000001</v>
      </c>
      <c r="U51" s="122">
        <v>0.1573</v>
      </c>
      <c r="V51" s="122" t="s">
        <v>520</v>
      </c>
      <c r="W51" s="108">
        <v>2464800000</v>
      </c>
      <c r="X51" s="108">
        <v>416850000</v>
      </c>
      <c r="Y51" s="108">
        <v>439600000</v>
      </c>
      <c r="Z51" s="108">
        <f t="shared" si="3"/>
        <v>2873956.8</v>
      </c>
      <c r="AA51" s="108">
        <f t="shared" si="4"/>
        <v>1511434.75</v>
      </c>
      <c r="AB51" s="108">
        <f t="shared" si="5"/>
        <v>5945037.5</v>
      </c>
      <c r="AC51" s="108">
        <f t="shared" si="6"/>
        <v>1559645.9500000002</v>
      </c>
    </row>
    <row r="52" spans="1:29" x14ac:dyDescent="0.2">
      <c r="A52" s="124" t="s">
        <v>521</v>
      </c>
      <c r="B52" s="99">
        <f t="shared" si="0"/>
        <v>4.2930850490987948E-3</v>
      </c>
      <c r="C52" t="s">
        <v>621</v>
      </c>
      <c r="D52" s="99">
        <f t="shared" si="1"/>
        <v>3.926764635027704E-2</v>
      </c>
      <c r="E52" s="123">
        <v>522965000</v>
      </c>
      <c r="F52" s="219">
        <v>181584</v>
      </c>
      <c r="G52" s="93">
        <v>188600</v>
      </c>
      <c r="H52" s="93">
        <v>12453</v>
      </c>
      <c r="I52" s="93">
        <v>29775</v>
      </c>
      <c r="J52" s="93">
        <v>11475</v>
      </c>
      <c r="K52" s="108">
        <f>(F52*138.66)*SUM(1,Macrogegevens!$C$4,0.5*Macrogegevens!$C$6,Macrogegevens!$C$8)</f>
        <v>25699631.095008001</v>
      </c>
      <c r="L52" s="108">
        <f t="shared" si="7"/>
        <v>12062346.300000001</v>
      </c>
      <c r="M52" s="108">
        <v>40375302.089161426</v>
      </c>
      <c r="N52" s="108">
        <v>24840920.909527086</v>
      </c>
      <c r="O52" s="108">
        <v>23569682.963264059</v>
      </c>
      <c r="P52" s="108">
        <f t="shared" si="2"/>
        <v>88785905.961952567</v>
      </c>
      <c r="Q52" s="108">
        <v>505241000</v>
      </c>
      <c r="R52" s="155">
        <v>3295.0276689421175</v>
      </c>
      <c r="S52" s="122">
        <v>0.106</v>
      </c>
      <c r="T52" s="122">
        <v>0.17130000000000001</v>
      </c>
      <c r="U52" s="122">
        <v>0.1368</v>
      </c>
      <c r="V52" s="122" t="s">
        <v>521</v>
      </c>
      <c r="W52" s="108">
        <v>14115600000</v>
      </c>
      <c r="X52" s="108">
        <v>3468500000</v>
      </c>
      <c r="Y52" s="108">
        <v>3532900000</v>
      </c>
      <c r="Z52" s="108">
        <f t="shared" si="3"/>
        <v>14962536</v>
      </c>
      <c r="AA52" s="108">
        <f t="shared" si="4"/>
        <v>10774547.699999999</v>
      </c>
      <c r="AB52" s="108">
        <f t="shared" si="5"/>
        <v>37799430</v>
      </c>
      <c r="AC52" s="108">
        <f t="shared" si="6"/>
        <v>12062346.300000001</v>
      </c>
    </row>
    <row r="53" spans="1:29" s="133" customFormat="1" x14ac:dyDescent="0.2">
      <c r="A53" s="131" t="s">
        <v>440</v>
      </c>
      <c r="B53" s="99">
        <f t="shared" si="0"/>
        <v>2.8939752696658773E-3</v>
      </c>
      <c r="C53" t="s">
        <v>689</v>
      </c>
      <c r="D53" s="99">
        <f t="shared" si="1"/>
        <v>2.0648967551622419E-2</v>
      </c>
      <c r="E53" s="123">
        <v>44680000</v>
      </c>
      <c r="F53" s="219">
        <v>16471</v>
      </c>
      <c r="G53" s="132">
        <v>16900</v>
      </c>
      <c r="H53" s="93">
        <v>1017</v>
      </c>
      <c r="I53" s="132">
        <v>2455</v>
      </c>
      <c r="J53" s="93">
        <v>975</v>
      </c>
      <c r="K53" s="108">
        <f>(F53*138.66)*SUM(1,Macrogegevens!$C$4,0.5*Macrogegevens!$C$6,Macrogegevens!$C$8)</f>
        <v>2331144.9454020001</v>
      </c>
      <c r="L53" s="132">
        <f t="shared" si="7"/>
        <v>1480346.85</v>
      </c>
      <c r="M53" s="132">
        <v>2285307.0642730719</v>
      </c>
      <c r="N53" s="132">
        <v>1012862.2256776843</v>
      </c>
      <c r="O53" s="132">
        <v>0</v>
      </c>
      <c r="P53" s="108">
        <f t="shared" si="2"/>
        <v>3298169.2899507564</v>
      </c>
      <c r="Q53" s="108">
        <v>46727000</v>
      </c>
      <c r="R53" s="155">
        <v>-5633.3523700742435</v>
      </c>
      <c r="S53" s="132">
        <v>9.9000000000000005E-2</v>
      </c>
      <c r="T53" s="132">
        <v>0.1099</v>
      </c>
      <c r="U53" s="132">
        <v>8.9899999999999994E-2</v>
      </c>
      <c r="V53" s="132" t="s">
        <v>440</v>
      </c>
      <c r="W53" s="132">
        <v>1329200000</v>
      </c>
      <c r="X53" s="132">
        <v>255499999.99999997</v>
      </c>
      <c r="Y53" s="132">
        <v>269850000</v>
      </c>
      <c r="Z53" s="108">
        <f t="shared" si="3"/>
        <v>1315908</v>
      </c>
      <c r="AA53" s="108">
        <f t="shared" si="4"/>
        <v>523389.64999999991</v>
      </c>
      <c r="AB53" s="108">
        <f t="shared" si="5"/>
        <v>3319644.5</v>
      </c>
      <c r="AC53" s="108">
        <f t="shared" si="6"/>
        <v>1480346.85</v>
      </c>
    </row>
    <row r="54" spans="1:29" x14ac:dyDescent="0.2">
      <c r="A54" s="124" t="s">
        <v>304</v>
      </c>
      <c r="B54" s="99">
        <f t="shared" si="0"/>
        <v>-4.2996892483562234E-3</v>
      </c>
      <c r="C54" t="s">
        <v>689</v>
      </c>
      <c r="D54" s="99">
        <f t="shared" si="1"/>
        <v>8.7296716784289657E-2</v>
      </c>
      <c r="E54" s="123">
        <v>64941000</v>
      </c>
      <c r="F54" s="219">
        <v>36721</v>
      </c>
      <c r="G54" s="93">
        <v>35300</v>
      </c>
      <c r="H54" s="93">
        <v>3259</v>
      </c>
      <c r="I54" s="93">
        <v>6535</v>
      </c>
      <c r="J54" s="93">
        <v>2690</v>
      </c>
      <c r="K54" s="108">
        <f>(F54*138.66)*SUM(1,Macrogegevens!$C$4,0.5*Macrogegevens!$C$6,Macrogegevens!$C$8)</f>
        <v>5197132.7509020008</v>
      </c>
      <c r="L54" s="108">
        <f t="shared" si="7"/>
        <v>2446095.5000000005</v>
      </c>
      <c r="M54" s="108">
        <v>7278049.8958377577</v>
      </c>
      <c r="N54" s="108">
        <v>6343742.1630228488</v>
      </c>
      <c r="O54" s="108">
        <v>0</v>
      </c>
      <c r="P54" s="108">
        <f t="shared" si="2"/>
        <v>13621792.058860607</v>
      </c>
      <c r="Q54" s="108">
        <v>69365000</v>
      </c>
      <c r="R54" s="155">
        <v>-109.13618182299807</v>
      </c>
      <c r="S54" s="122">
        <v>0.1171</v>
      </c>
      <c r="T54" s="122">
        <v>0.15859999999999999</v>
      </c>
      <c r="U54" s="122">
        <v>0.1032</v>
      </c>
      <c r="V54" s="122" t="s">
        <v>304</v>
      </c>
      <c r="W54" s="108">
        <v>3092400000</v>
      </c>
      <c r="X54" s="108">
        <v>478449999.99999994</v>
      </c>
      <c r="Y54" s="108">
        <v>572950000</v>
      </c>
      <c r="Z54" s="108">
        <f t="shared" si="3"/>
        <v>3621200.4</v>
      </c>
      <c r="AA54" s="108">
        <f t="shared" si="4"/>
        <v>1350106.0999999996</v>
      </c>
      <c r="AB54" s="108">
        <f t="shared" si="5"/>
        <v>7417402</v>
      </c>
      <c r="AC54" s="108">
        <f t="shared" si="6"/>
        <v>2446095.5000000005</v>
      </c>
    </row>
    <row r="55" spans="1:29" x14ac:dyDescent="0.2">
      <c r="A55" s="124" t="s">
        <v>305</v>
      </c>
      <c r="B55" s="99">
        <f t="shared" si="0"/>
        <v>-6.264330383855714E-3</v>
      </c>
      <c r="C55" t="s">
        <v>689</v>
      </c>
      <c r="D55" s="99">
        <f t="shared" si="1"/>
        <v>5.4819720382634288E-2</v>
      </c>
      <c r="E55" s="123">
        <v>45026000</v>
      </c>
      <c r="F55" s="219">
        <v>20983</v>
      </c>
      <c r="G55" s="93">
        <v>19800</v>
      </c>
      <c r="H55" s="93">
        <v>1359</v>
      </c>
      <c r="I55" s="93">
        <v>3025</v>
      </c>
      <c r="J55" s="93">
        <v>1210</v>
      </c>
      <c r="K55" s="108">
        <f>(F55*138.66)*SUM(1,Macrogegevens!$C$4,0.5*Macrogegevens!$C$6,Macrogegevens!$C$8)</f>
        <v>2969729.4875460002</v>
      </c>
      <c r="L55" s="108">
        <f t="shared" si="7"/>
        <v>1340333</v>
      </c>
      <c r="M55" s="108">
        <v>4980979.5793354874</v>
      </c>
      <c r="N55" s="108">
        <v>3694094.0683179619</v>
      </c>
      <c r="O55" s="108">
        <v>0</v>
      </c>
      <c r="P55" s="108">
        <f t="shared" si="2"/>
        <v>8675073.6476534493</v>
      </c>
      <c r="Q55" s="108">
        <v>43514000</v>
      </c>
      <c r="R55" s="155">
        <v>2419.1305170537867</v>
      </c>
      <c r="S55" s="122">
        <v>0.10299999999999999</v>
      </c>
      <c r="T55" s="122">
        <v>0.19600000000000001</v>
      </c>
      <c r="U55" s="122">
        <v>0.156</v>
      </c>
      <c r="V55" s="122" t="s">
        <v>305</v>
      </c>
      <c r="W55" s="108">
        <v>1738000000</v>
      </c>
      <c r="X55" s="108">
        <v>230300000</v>
      </c>
      <c r="Y55" s="108">
        <v>254799999.99999997</v>
      </c>
      <c r="Z55" s="108">
        <f t="shared" si="3"/>
        <v>1790139.9999999998</v>
      </c>
      <c r="AA55" s="108">
        <f t="shared" si="4"/>
        <v>848876</v>
      </c>
      <c r="AB55" s="108">
        <f t="shared" si="5"/>
        <v>3979349</v>
      </c>
      <c r="AC55" s="108">
        <f t="shared" si="6"/>
        <v>1340333</v>
      </c>
    </row>
    <row r="56" spans="1:29" x14ac:dyDescent="0.2">
      <c r="A56" s="124" t="s">
        <v>576</v>
      </c>
      <c r="B56" s="99">
        <f t="shared" si="0"/>
        <v>5.9622109025500277E-3</v>
      </c>
      <c r="C56" t="s">
        <v>621</v>
      </c>
      <c r="D56" s="99">
        <f t="shared" si="1"/>
        <v>2.1834061135371178E-2</v>
      </c>
      <c r="E56" s="123">
        <v>94890000</v>
      </c>
      <c r="F56" s="219">
        <v>28662</v>
      </c>
      <c r="G56" s="93">
        <v>30200</v>
      </c>
      <c r="H56" s="93">
        <v>1145</v>
      </c>
      <c r="I56" s="93">
        <v>2670</v>
      </c>
      <c r="J56" s="93">
        <v>1095</v>
      </c>
      <c r="K56" s="108">
        <f>(F56*138.66)*SUM(1,Macrogegevens!$C$4,0.5*Macrogegevens!$C$6,Macrogegevens!$C$8)</f>
        <v>4056540.3694440005</v>
      </c>
      <c r="L56" s="108">
        <f t="shared" si="7"/>
        <v>72278.5</v>
      </c>
      <c r="M56" s="108">
        <v>7881075.8621756919</v>
      </c>
      <c r="N56" s="108">
        <v>6614176.5673988722</v>
      </c>
      <c r="O56" s="108">
        <v>0</v>
      </c>
      <c r="P56" s="108">
        <f t="shared" si="2"/>
        <v>14495252.429574564</v>
      </c>
      <c r="Q56" s="108">
        <v>95365522</v>
      </c>
      <c r="R56" s="155">
        <v>354.48926922032058</v>
      </c>
      <c r="S56" s="122">
        <v>0.1615</v>
      </c>
      <c r="T56" s="122">
        <v>0.23469999999999999</v>
      </c>
      <c r="U56" s="122">
        <v>0.1938</v>
      </c>
      <c r="V56" s="122" t="s">
        <v>576</v>
      </c>
      <c r="W56" s="108">
        <v>1543200000</v>
      </c>
      <c r="X56" s="108">
        <v>276500000</v>
      </c>
      <c r="Y56" s="108">
        <v>295750000</v>
      </c>
      <c r="Z56" s="108">
        <f t="shared" si="3"/>
        <v>2492268</v>
      </c>
      <c r="AA56" s="108">
        <f t="shared" si="4"/>
        <v>1222109</v>
      </c>
      <c r="AB56" s="108">
        <f t="shared" si="5"/>
        <v>3786655.5</v>
      </c>
      <c r="AC56" s="108">
        <f t="shared" si="6"/>
        <v>72278.5</v>
      </c>
    </row>
    <row r="57" spans="1:29" x14ac:dyDescent="0.2">
      <c r="A57" s="124" t="s">
        <v>356</v>
      </c>
      <c r="B57" s="99">
        <f t="shared" si="0"/>
        <v>-1.992922473042503E-3</v>
      </c>
      <c r="C57" t="s">
        <v>689</v>
      </c>
      <c r="D57" s="99">
        <f t="shared" si="1"/>
        <v>3.7259615384615384E-2</v>
      </c>
      <c r="E57" s="123">
        <v>32488700</v>
      </c>
      <c r="F57" s="219">
        <v>14663</v>
      </c>
      <c r="G57" s="93">
        <v>14400</v>
      </c>
      <c r="H57" s="93">
        <v>1248</v>
      </c>
      <c r="I57" s="93">
        <v>2625</v>
      </c>
      <c r="J57" s="93">
        <v>1155</v>
      </c>
      <c r="K57" s="108">
        <f>(F57*138.66)*SUM(1,Macrogegevens!$C$4,0.5*Macrogegevens!$C$6,Macrogegevens!$C$8)</f>
        <v>2075258.2317060002</v>
      </c>
      <c r="L57" s="108">
        <f t="shared" si="7"/>
        <v>0</v>
      </c>
      <c r="M57" s="108">
        <v>2103255.0166324563</v>
      </c>
      <c r="N57" s="108">
        <v>1444635.6473182845</v>
      </c>
      <c r="O57" s="108">
        <v>0</v>
      </c>
      <c r="P57" s="108">
        <f t="shared" si="2"/>
        <v>3547890.6639507408</v>
      </c>
      <c r="Q57" s="108">
        <v>33524400</v>
      </c>
      <c r="R57" s="155">
        <v>319.66249394840582</v>
      </c>
      <c r="S57" s="122">
        <v>0.17530000000000001</v>
      </c>
      <c r="T57" s="122">
        <v>0.26800000000000002</v>
      </c>
      <c r="U57" s="122">
        <v>0.21440000000000001</v>
      </c>
      <c r="V57" s="122" t="s">
        <v>356</v>
      </c>
      <c r="W57" s="108">
        <v>1365600000</v>
      </c>
      <c r="X57" s="108">
        <v>222950000</v>
      </c>
      <c r="Y57" s="108">
        <v>236949999.99999997</v>
      </c>
      <c r="Z57" s="108">
        <f t="shared" si="3"/>
        <v>2393896.8000000003</v>
      </c>
      <c r="AA57" s="108">
        <f t="shared" si="4"/>
        <v>1105526.7999999998</v>
      </c>
      <c r="AB57" s="108">
        <f t="shared" si="5"/>
        <v>3267645</v>
      </c>
      <c r="AC57" s="108">
        <f t="shared" si="6"/>
        <v>-231778.60000000009</v>
      </c>
    </row>
    <row r="58" spans="1:29" x14ac:dyDescent="0.2">
      <c r="A58" s="124" t="s">
        <v>357</v>
      </c>
      <c r="B58" s="99">
        <f t="shared" si="0"/>
        <v>1.1024486304133779E-2</v>
      </c>
      <c r="C58" t="s">
        <v>689</v>
      </c>
      <c r="D58" s="99">
        <f t="shared" si="1"/>
        <v>3.7279267495094831E-2</v>
      </c>
      <c r="E58" s="123">
        <v>36499220</v>
      </c>
      <c r="F58" s="219">
        <v>20651</v>
      </c>
      <c r="G58" s="93">
        <v>22700</v>
      </c>
      <c r="H58" s="93">
        <v>1529</v>
      </c>
      <c r="I58" s="93">
        <v>3900</v>
      </c>
      <c r="J58" s="93">
        <v>1415</v>
      </c>
      <c r="K58" s="108">
        <f>(F58*138.66)*SUM(1,Macrogegevens!$C$4,0.5*Macrogegevens!$C$6,Macrogegevens!$C$8)</f>
        <v>2922741.4405620005</v>
      </c>
      <c r="L58" s="108">
        <f t="shared" si="7"/>
        <v>1299037.75</v>
      </c>
      <c r="M58" s="108">
        <v>2680242.3986041332</v>
      </c>
      <c r="N58" s="108">
        <v>2081315.8561768637</v>
      </c>
      <c r="O58" s="108">
        <v>0</v>
      </c>
      <c r="P58" s="108">
        <f t="shared" si="2"/>
        <v>4761558.2547809966</v>
      </c>
      <c r="Q58" s="108">
        <v>41291895</v>
      </c>
      <c r="R58" s="155">
        <v>1652.55</v>
      </c>
      <c r="S58" s="122">
        <v>0.1085</v>
      </c>
      <c r="T58" s="122">
        <v>0.1636</v>
      </c>
      <c r="U58" s="122">
        <v>0.13089999999999999</v>
      </c>
      <c r="V58" s="122" t="s">
        <v>357</v>
      </c>
      <c r="W58" s="108">
        <v>1515600000</v>
      </c>
      <c r="X58" s="108">
        <v>352450000</v>
      </c>
      <c r="Y58" s="108">
        <v>366450000</v>
      </c>
      <c r="Z58" s="108">
        <f t="shared" si="3"/>
        <v>1644426</v>
      </c>
      <c r="AA58" s="108">
        <f t="shared" si="4"/>
        <v>1056291.25</v>
      </c>
      <c r="AB58" s="108">
        <f t="shared" si="5"/>
        <v>3999755</v>
      </c>
      <c r="AC58" s="108">
        <f t="shared" si="6"/>
        <v>1299037.75</v>
      </c>
    </row>
    <row r="59" spans="1:29" x14ac:dyDescent="0.2">
      <c r="A59" s="124" t="s">
        <v>306</v>
      </c>
      <c r="B59" s="99">
        <f t="shared" si="0"/>
        <v>4.0434995424461044E-4</v>
      </c>
      <c r="C59" t="s">
        <v>689</v>
      </c>
      <c r="D59" s="99">
        <f t="shared" si="1"/>
        <v>6.4522572912504988E-2</v>
      </c>
      <c r="E59" s="123">
        <v>48005000</v>
      </c>
      <c r="F59" s="219">
        <v>26105</v>
      </c>
      <c r="G59" s="93">
        <v>26200</v>
      </c>
      <c r="H59" s="93">
        <v>2503</v>
      </c>
      <c r="I59" s="93">
        <v>5530</v>
      </c>
      <c r="J59" s="93">
        <v>2180</v>
      </c>
      <c r="K59" s="108">
        <f>(F59*138.66)*SUM(1,Macrogegevens!$C$4,0.5*Macrogegevens!$C$6,Macrogegevens!$C$8)</f>
        <v>3694647.4895100002</v>
      </c>
      <c r="L59" s="108">
        <f t="shared" si="7"/>
        <v>1177788.6000000001</v>
      </c>
      <c r="M59" s="108">
        <v>4512751.3654195322</v>
      </c>
      <c r="N59" s="108">
        <v>2448689.2289639474</v>
      </c>
      <c r="O59" s="108">
        <v>0</v>
      </c>
      <c r="P59" s="108">
        <f t="shared" si="2"/>
        <v>6961440.59438348</v>
      </c>
      <c r="Q59" s="108">
        <v>49996000</v>
      </c>
      <c r="R59" s="155">
        <v>117.58797852203809</v>
      </c>
      <c r="S59" s="122">
        <v>0.121</v>
      </c>
      <c r="T59" s="122">
        <v>0.21240000000000001</v>
      </c>
      <c r="U59" s="122">
        <v>0.17280000000000001</v>
      </c>
      <c r="V59" s="122" t="s">
        <v>306</v>
      </c>
      <c r="W59" s="108">
        <v>2163600000</v>
      </c>
      <c r="X59" s="108">
        <v>299250000</v>
      </c>
      <c r="Y59" s="108">
        <v>368550000</v>
      </c>
      <c r="Z59" s="108">
        <f t="shared" si="3"/>
        <v>2617956</v>
      </c>
      <c r="AA59" s="108">
        <f t="shared" si="4"/>
        <v>1272461.3999999999</v>
      </c>
      <c r="AB59" s="108">
        <f t="shared" si="5"/>
        <v>5068206</v>
      </c>
      <c r="AC59" s="108">
        <f t="shared" si="6"/>
        <v>1177788.6000000001</v>
      </c>
    </row>
    <row r="60" spans="1:29" x14ac:dyDescent="0.2">
      <c r="A60" s="124" t="s">
        <v>388</v>
      </c>
      <c r="B60" s="99">
        <f t="shared" si="0"/>
        <v>7.9109109718249865E-4</v>
      </c>
      <c r="C60" t="s">
        <v>228</v>
      </c>
      <c r="D60" s="99">
        <f t="shared" si="1"/>
        <v>1.9164955509924708E-2</v>
      </c>
      <c r="E60" s="123">
        <v>78945022</v>
      </c>
      <c r="F60" s="219">
        <v>32866</v>
      </c>
      <c r="G60" s="93">
        <v>33100</v>
      </c>
      <c r="H60" s="93">
        <v>2922</v>
      </c>
      <c r="I60" s="93">
        <v>7425</v>
      </c>
      <c r="J60" s="93">
        <v>2810</v>
      </c>
      <c r="K60" s="108">
        <f>(F60*138.66)*SUM(1,Macrogegevens!$C$4,0.5*Macrogegevens!$C$6,Macrogegevens!$C$8)</f>
        <v>4651533.5908920001</v>
      </c>
      <c r="L60" s="108">
        <f t="shared" si="7"/>
        <v>6154039.1500000004</v>
      </c>
      <c r="M60" s="108">
        <v>4508053.0934611969</v>
      </c>
      <c r="N60" s="108">
        <v>4408128.4056379041</v>
      </c>
      <c r="O60" s="108">
        <v>0</v>
      </c>
      <c r="P60" s="108">
        <f t="shared" si="2"/>
        <v>8916181.4990991019</v>
      </c>
      <c r="Q60" s="108">
        <v>84966378</v>
      </c>
      <c r="R60" s="155">
        <v>930.46213253612359</v>
      </c>
      <c r="S60" s="122">
        <v>5.4899999999999997E-2</v>
      </c>
      <c r="T60" s="122">
        <v>7.1800000000000003E-2</v>
      </c>
      <c r="U60" s="122">
        <v>6.3899999999999998E-2</v>
      </c>
      <c r="V60" s="122" t="s">
        <v>388</v>
      </c>
      <c r="W60" s="108">
        <v>4172000000</v>
      </c>
      <c r="X60" s="108">
        <v>427350000</v>
      </c>
      <c r="Y60" s="108">
        <v>450450000</v>
      </c>
      <c r="Z60" s="108">
        <f t="shared" si="3"/>
        <v>2290428</v>
      </c>
      <c r="AA60" s="108">
        <f t="shared" si="4"/>
        <v>594674.85</v>
      </c>
      <c r="AB60" s="108">
        <f t="shared" si="5"/>
        <v>9039142</v>
      </c>
      <c r="AC60" s="108">
        <f t="shared" si="6"/>
        <v>6154039.1500000004</v>
      </c>
    </row>
    <row r="61" spans="1:29" x14ac:dyDescent="0.2">
      <c r="A61" s="124" t="s">
        <v>441</v>
      </c>
      <c r="B61" s="99">
        <f t="shared" si="0"/>
        <v>-5.6859990634825072E-4</v>
      </c>
      <c r="C61" t="s">
        <v>621</v>
      </c>
      <c r="D61" s="99">
        <f t="shared" si="1"/>
        <v>2.8619528619528621E-2</v>
      </c>
      <c r="E61" s="123">
        <v>163942000</v>
      </c>
      <c r="F61" s="219">
        <v>66440</v>
      </c>
      <c r="G61" s="93">
        <v>66100</v>
      </c>
      <c r="H61" s="93">
        <v>3861</v>
      </c>
      <c r="I61" s="93">
        <v>9370</v>
      </c>
      <c r="J61" s="93">
        <v>3640</v>
      </c>
      <c r="K61" s="108">
        <f>(F61*138.66)*SUM(1,Macrogegevens!$C$4,0.5*Macrogegevens!$C$6,Macrogegevens!$C$8)</f>
        <v>9403270.607280001</v>
      </c>
      <c r="L61" s="108">
        <f t="shared" si="7"/>
        <v>2237643.75</v>
      </c>
      <c r="M61" s="108">
        <v>17633503.433679353</v>
      </c>
      <c r="N61" s="108">
        <v>6680521.984789202</v>
      </c>
      <c r="O61" s="108">
        <v>0</v>
      </c>
      <c r="P61" s="108">
        <f t="shared" si="2"/>
        <v>24314025.418468557</v>
      </c>
      <c r="Q61" s="108">
        <v>158455000</v>
      </c>
      <c r="R61" s="155">
        <v>938.48037340270866</v>
      </c>
      <c r="S61" s="122">
        <v>0.1172</v>
      </c>
      <c r="T61" s="122">
        <v>0.22289999999999999</v>
      </c>
      <c r="U61" s="122">
        <v>0.17799999999999999</v>
      </c>
      <c r="V61" s="122" t="s">
        <v>441</v>
      </c>
      <c r="W61" s="108">
        <v>4251600000</v>
      </c>
      <c r="X61" s="108">
        <v>908950000</v>
      </c>
      <c r="Y61" s="108">
        <v>918400000</v>
      </c>
      <c r="Z61" s="108">
        <f t="shared" si="3"/>
        <v>4982875.2</v>
      </c>
      <c r="AA61" s="108">
        <f t="shared" si="4"/>
        <v>3660801.55</v>
      </c>
      <c r="AB61" s="108">
        <f t="shared" si="5"/>
        <v>10881320.5</v>
      </c>
      <c r="AC61" s="108">
        <f t="shared" si="6"/>
        <v>2237643.75</v>
      </c>
    </row>
    <row r="62" spans="1:29" x14ac:dyDescent="0.2">
      <c r="A62" s="124" t="s">
        <v>389</v>
      </c>
      <c r="B62" s="99">
        <f t="shared" si="0"/>
        <v>7.6307246601740842E-4</v>
      </c>
      <c r="C62" t="s">
        <v>689</v>
      </c>
      <c r="D62" s="99">
        <f t="shared" si="1"/>
        <v>4.168585905112851E-2</v>
      </c>
      <c r="E62" s="123">
        <v>55197171</v>
      </c>
      <c r="F62" s="219">
        <v>34364</v>
      </c>
      <c r="G62" s="93">
        <v>34600</v>
      </c>
      <c r="H62" s="93">
        <v>2171</v>
      </c>
      <c r="I62" s="93">
        <v>5190</v>
      </c>
      <c r="J62" s="93">
        <v>1990</v>
      </c>
      <c r="K62" s="108">
        <f>(F62*138.66)*SUM(1,Macrogegevens!$C$4,0.5*Macrogegevens!$C$6,Macrogegevens!$C$8)</f>
        <v>4863545.9233680014</v>
      </c>
      <c r="L62" s="108">
        <f t="shared" si="7"/>
        <v>2307667.0000000005</v>
      </c>
      <c r="M62" s="108">
        <v>4232406.6385482699</v>
      </c>
      <c r="N62" s="108">
        <v>3141865.0524764182</v>
      </c>
      <c r="O62" s="108">
        <v>0</v>
      </c>
      <c r="P62" s="108">
        <f t="shared" si="2"/>
        <v>7374271.6910246881</v>
      </c>
      <c r="Q62" s="108">
        <v>54673297</v>
      </c>
      <c r="R62" s="155">
        <v>2118.9253145561584</v>
      </c>
      <c r="S62" s="122">
        <v>0.10249999999999999</v>
      </c>
      <c r="T62" s="122">
        <v>0.20899999999999999</v>
      </c>
      <c r="U62" s="122">
        <v>0.19600000000000001</v>
      </c>
      <c r="V62" s="122" t="s">
        <v>389</v>
      </c>
      <c r="W62" s="108">
        <v>3189600000</v>
      </c>
      <c r="X62" s="108">
        <v>275450000</v>
      </c>
      <c r="Y62" s="108">
        <v>292600000</v>
      </c>
      <c r="Z62" s="108">
        <f t="shared" si="3"/>
        <v>3269339.9999999995</v>
      </c>
      <c r="AA62" s="108">
        <f t="shared" si="4"/>
        <v>1149186.5</v>
      </c>
      <c r="AB62" s="108">
        <f t="shared" si="5"/>
        <v>6726193.5</v>
      </c>
      <c r="AC62" s="108">
        <f t="shared" si="6"/>
        <v>2307667.0000000005</v>
      </c>
    </row>
    <row r="63" spans="1:29" x14ac:dyDescent="0.2">
      <c r="A63" s="124" t="s">
        <v>219</v>
      </c>
      <c r="B63" s="99">
        <f t="shared" si="0"/>
        <v>5.1341664244890055E-3</v>
      </c>
      <c r="C63" t="s">
        <v>228</v>
      </c>
      <c r="D63" s="99">
        <f t="shared" si="1"/>
        <v>5.3607014746911118E-2</v>
      </c>
      <c r="E63" s="123">
        <v>87513000</v>
      </c>
      <c r="F63" s="219">
        <v>35557</v>
      </c>
      <c r="G63" s="93">
        <v>37200</v>
      </c>
      <c r="H63" s="93">
        <v>2509</v>
      </c>
      <c r="I63" s="93">
        <v>5365</v>
      </c>
      <c r="J63" s="93">
        <v>2240</v>
      </c>
      <c r="K63" s="108">
        <f>(F63*138.66)*SUM(1,Macrogegevens!$C$4,0.5*Macrogegevens!$C$6,Macrogegevens!$C$8)</f>
        <v>5032391.5259340005</v>
      </c>
      <c r="L63" s="108">
        <f t="shared" si="7"/>
        <v>1039831.9999999995</v>
      </c>
      <c r="M63" s="108">
        <v>8270254.0387898954</v>
      </c>
      <c r="N63" s="108">
        <v>6266634.8542294083</v>
      </c>
      <c r="O63" s="108">
        <v>0</v>
      </c>
      <c r="P63" s="108">
        <f t="shared" si="2"/>
        <v>14536888.893019304</v>
      </c>
      <c r="Q63" s="108">
        <v>93212000</v>
      </c>
      <c r="R63" s="155">
        <v>3452.7836992331331</v>
      </c>
      <c r="S63" s="122">
        <v>0.15620000000000001</v>
      </c>
      <c r="T63" s="122">
        <v>0.15620000000000001</v>
      </c>
      <c r="U63" s="122">
        <v>0.13020000000000001</v>
      </c>
      <c r="V63" s="122" t="s">
        <v>219</v>
      </c>
      <c r="W63" s="108">
        <v>2335600000</v>
      </c>
      <c r="X63" s="108">
        <v>659400000</v>
      </c>
      <c r="Y63" s="108">
        <v>731500000</v>
      </c>
      <c r="Z63" s="108">
        <f t="shared" si="3"/>
        <v>3648207.2</v>
      </c>
      <c r="AA63" s="108">
        <f t="shared" si="4"/>
        <v>1982395.8000000003</v>
      </c>
      <c r="AB63" s="108">
        <f t="shared" si="5"/>
        <v>6670435</v>
      </c>
      <c r="AC63" s="108">
        <f t="shared" si="6"/>
        <v>1039831.9999999995</v>
      </c>
    </row>
    <row r="64" spans="1:29" x14ac:dyDescent="0.2">
      <c r="A64" s="124" t="s">
        <v>522</v>
      </c>
      <c r="B64" s="99">
        <f t="shared" si="0"/>
        <v>-2.3113189674304302E-3</v>
      </c>
      <c r="C64" t="s">
        <v>689</v>
      </c>
      <c r="D64" s="99">
        <f t="shared" si="1"/>
        <v>4.0625000000000001E-2</v>
      </c>
      <c r="E64" s="123">
        <v>37437000</v>
      </c>
      <c r="F64" s="219">
        <v>20527</v>
      </c>
      <c r="G64" s="93">
        <v>20100</v>
      </c>
      <c r="H64" s="93">
        <v>1600</v>
      </c>
      <c r="I64" s="93">
        <v>3715</v>
      </c>
      <c r="J64" s="93">
        <v>1470</v>
      </c>
      <c r="K64" s="108">
        <f>(F64*138.66)*SUM(1,Macrogegevens!$C$4,0.5*Macrogegevens!$C$6,Macrogegevens!$C$8)</f>
        <v>2905191.6880740002</v>
      </c>
      <c r="L64" s="108">
        <f t="shared" si="7"/>
        <v>818185.44999999972</v>
      </c>
      <c r="M64" s="108">
        <v>2974104.0993902874</v>
      </c>
      <c r="N64" s="108">
        <v>2696539.056774809</v>
      </c>
      <c r="O64" s="108">
        <v>0</v>
      </c>
      <c r="P64" s="108">
        <f t="shared" si="2"/>
        <v>5670643.1561650969</v>
      </c>
      <c r="Q64" s="108">
        <v>40164000</v>
      </c>
      <c r="R64" s="155">
        <v>146.38942142260237</v>
      </c>
      <c r="S64" s="122">
        <v>0.1236</v>
      </c>
      <c r="T64" s="122">
        <v>0.2177</v>
      </c>
      <c r="U64" s="122">
        <v>0.17219999999999999</v>
      </c>
      <c r="V64" s="122" t="s">
        <v>522</v>
      </c>
      <c r="W64" s="108">
        <v>1659600000</v>
      </c>
      <c r="X64" s="108">
        <v>325850000</v>
      </c>
      <c r="Y64" s="108">
        <v>365750000</v>
      </c>
      <c r="Z64" s="108">
        <f t="shared" si="3"/>
        <v>2051265.6</v>
      </c>
      <c r="AA64" s="108">
        <f t="shared" si="4"/>
        <v>1339196.9500000002</v>
      </c>
      <c r="AB64" s="108">
        <f t="shared" si="5"/>
        <v>4208648</v>
      </c>
      <c r="AC64" s="108">
        <f t="shared" si="6"/>
        <v>818185.44999999972</v>
      </c>
    </row>
    <row r="65" spans="1:29" x14ac:dyDescent="0.2">
      <c r="A65" s="124" t="s">
        <v>442</v>
      </c>
      <c r="B65" s="99">
        <f t="shared" ref="B65:B127" si="8">SUM(G65,-F65)/(F65*9)</f>
        <v>-3.3122082257517668E-3</v>
      </c>
      <c r="C65" t="s">
        <v>689</v>
      </c>
      <c r="D65" s="99">
        <f t="shared" ref="D65:D127" si="9">SUM(H65,-J65)/(H65*2)</f>
        <v>3.8345105953582238E-2</v>
      </c>
      <c r="E65" s="123">
        <v>20438837</v>
      </c>
      <c r="F65" s="219">
        <v>12781</v>
      </c>
      <c r="G65" s="93">
        <v>12400</v>
      </c>
      <c r="H65" s="93">
        <v>991</v>
      </c>
      <c r="I65" s="93">
        <v>2455</v>
      </c>
      <c r="J65" s="93">
        <v>915</v>
      </c>
      <c r="K65" s="108">
        <f>(F65*138.66)*SUM(1,Macrogegevens!$C$4,0.5*Macrogegevens!$C$6,Macrogegevens!$C$8)</f>
        <v>1808898.2786220002</v>
      </c>
      <c r="L65" s="108">
        <f t="shared" si="7"/>
        <v>557809.35</v>
      </c>
      <c r="M65" s="108">
        <v>2463507.1879412537</v>
      </c>
      <c r="N65" s="108">
        <v>1078590.2036846364</v>
      </c>
      <c r="O65" s="108">
        <v>0</v>
      </c>
      <c r="P65" s="108">
        <f t="shared" ref="P65:P127" si="10">SUM(M65,N65,O65)</f>
        <v>3542097.39162589</v>
      </c>
      <c r="Q65" s="108">
        <v>19828678</v>
      </c>
      <c r="R65" s="155">
        <v>231.93946013418631</v>
      </c>
      <c r="S65" s="122">
        <v>0.10979999999999999</v>
      </c>
      <c r="T65" s="122">
        <v>0.24260000000000001</v>
      </c>
      <c r="U65" s="122">
        <v>0.19370000000000001</v>
      </c>
      <c r="V65" s="122" t="s">
        <v>442</v>
      </c>
      <c r="W65" s="108">
        <v>1016400000</v>
      </c>
      <c r="X65" s="108">
        <v>184100000</v>
      </c>
      <c r="Y65" s="108">
        <v>193550000</v>
      </c>
      <c r="Z65" s="108">
        <f t="shared" ref="Z65:Z127" si="11">S65/100*W65</f>
        <v>1116007.2</v>
      </c>
      <c r="AA65" s="108">
        <f t="shared" ref="AA65:AA127" si="12">SUM(T65/100*X65,U65/100*Y65)</f>
        <v>821532.95000000007</v>
      </c>
      <c r="AB65" s="108">
        <f t="shared" ref="AB65:AB127" si="13">(0.179/100)*SUM(W65,X65,Y65)</f>
        <v>2495349.5</v>
      </c>
      <c r="AC65" s="108">
        <f t="shared" ref="AC65:AC127" si="14">SUM(AB65,-Z65,-AA65)</f>
        <v>557809.35</v>
      </c>
    </row>
    <row r="66" spans="1:29" x14ac:dyDescent="0.2">
      <c r="A66" s="124" t="s">
        <v>523</v>
      </c>
      <c r="B66" s="99">
        <f t="shared" si="8"/>
        <v>5.5729004761969122E-3</v>
      </c>
      <c r="C66" t="s">
        <v>621</v>
      </c>
      <c r="D66" s="99">
        <f t="shared" si="9"/>
        <v>3.765971755211836E-2</v>
      </c>
      <c r="E66" s="123">
        <v>109670000</v>
      </c>
      <c r="F66" s="219">
        <v>24663</v>
      </c>
      <c r="G66" s="93">
        <v>25900</v>
      </c>
      <c r="H66" s="93">
        <v>1487</v>
      </c>
      <c r="I66" s="93">
        <v>3445</v>
      </c>
      <c r="J66" s="93">
        <v>1375</v>
      </c>
      <c r="K66" s="108">
        <f>(F66*138.66)*SUM(1,Macrogegevens!$C$4,0.5*Macrogegevens!$C$6,Macrogegevens!$C$8)</f>
        <v>3490560.8517060005</v>
      </c>
      <c r="L66" s="108">
        <f t="shared" ref="L66:L128" si="15">IF(AC66&gt;0,AC66,0)</f>
        <v>1456270.5499999998</v>
      </c>
      <c r="M66" s="108">
        <v>6542525.8568622498</v>
      </c>
      <c r="N66" s="108">
        <v>3354387.2286716821</v>
      </c>
      <c r="O66" s="108">
        <v>0</v>
      </c>
      <c r="P66" s="108">
        <f t="shared" si="10"/>
        <v>9896913.0855339319</v>
      </c>
      <c r="Q66" s="108">
        <v>114521000</v>
      </c>
      <c r="R66" s="155">
        <v>494.24958048540907</v>
      </c>
      <c r="S66" s="122">
        <v>9.9199999999999997E-2</v>
      </c>
      <c r="T66" s="122">
        <v>0.19350000000000001</v>
      </c>
      <c r="U66" s="122">
        <v>0.15079999999999999</v>
      </c>
      <c r="V66" s="122" t="s">
        <v>523</v>
      </c>
      <c r="W66" s="108">
        <v>1755600000</v>
      </c>
      <c r="X66" s="108">
        <v>350350000</v>
      </c>
      <c r="Y66" s="108">
        <v>376250000</v>
      </c>
      <c r="Z66" s="108">
        <f t="shared" si="11"/>
        <v>1741555.2000000002</v>
      </c>
      <c r="AA66" s="108">
        <f t="shared" si="12"/>
        <v>1245312.25</v>
      </c>
      <c r="AB66" s="108">
        <f t="shared" si="13"/>
        <v>4443138</v>
      </c>
      <c r="AC66" s="108">
        <f t="shared" si="14"/>
        <v>1456270.5499999998</v>
      </c>
    </row>
    <row r="67" spans="1:29" x14ac:dyDescent="0.2">
      <c r="A67" s="124" t="s">
        <v>307</v>
      </c>
      <c r="B67" s="99">
        <f t="shared" si="8"/>
        <v>3.8439354154314043E-3</v>
      </c>
      <c r="C67" t="s">
        <v>621</v>
      </c>
      <c r="D67" s="99">
        <f t="shared" si="9"/>
        <v>3.7671232876712327E-2</v>
      </c>
      <c r="E67" s="123">
        <v>68744000</v>
      </c>
      <c r="F67" s="219">
        <v>27547</v>
      </c>
      <c r="G67" s="93">
        <v>28500</v>
      </c>
      <c r="H67" s="93">
        <v>1898</v>
      </c>
      <c r="I67" s="93">
        <v>4285</v>
      </c>
      <c r="J67" s="93">
        <v>1755</v>
      </c>
      <c r="K67" s="108">
        <f>(F67*138.66)*SUM(1,Macrogegevens!$C$4,0.5*Macrogegevens!$C$6,Macrogegevens!$C$8)</f>
        <v>3898734.1273140009</v>
      </c>
      <c r="L67" s="108">
        <f t="shared" si="15"/>
        <v>470873.89999999991</v>
      </c>
      <c r="M67" s="108">
        <v>5409287.4543917691</v>
      </c>
      <c r="N67" s="108">
        <v>3351909.7434738055</v>
      </c>
      <c r="O67" s="108">
        <v>0</v>
      </c>
      <c r="P67" s="108">
        <f t="shared" si="10"/>
        <v>8761197.1978655756</v>
      </c>
      <c r="Q67" s="108">
        <v>72686000</v>
      </c>
      <c r="R67" s="155">
        <v>2756.3361332315189</v>
      </c>
      <c r="S67" s="122">
        <v>0.1237</v>
      </c>
      <c r="T67" s="122">
        <v>0.26500000000000001</v>
      </c>
      <c r="U67" s="122">
        <v>0.2732</v>
      </c>
      <c r="V67" s="122" t="s">
        <v>307</v>
      </c>
      <c r="W67" s="108">
        <v>1995600000</v>
      </c>
      <c r="X67" s="108">
        <v>345800000</v>
      </c>
      <c r="Y67" s="108">
        <v>355950000</v>
      </c>
      <c r="Z67" s="108">
        <f t="shared" si="11"/>
        <v>2468557.2000000002</v>
      </c>
      <c r="AA67" s="108">
        <f t="shared" si="12"/>
        <v>1888825.4</v>
      </c>
      <c r="AB67" s="108">
        <f t="shared" si="13"/>
        <v>4828256.5</v>
      </c>
      <c r="AC67" s="108">
        <f t="shared" si="14"/>
        <v>470873.89999999991</v>
      </c>
    </row>
    <row r="68" spans="1:29" x14ac:dyDescent="0.2">
      <c r="A68" s="124" t="s">
        <v>276</v>
      </c>
      <c r="B68" s="99">
        <f t="shared" si="8"/>
        <v>3.3039868643438396E-3</v>
      </c>
      <c r="C68" t="s">
        <v>689</v>
      </c>
      <c r="D68" s="99">
        <f t="shared" si="9"/>
        <v>9.2045454545454541E-2</v>
      </c>
      <c r="E68" s="123">
        <v>45202000</v>
      </c>
      <c r="F68" s="219">
        <v>27677</v>
      </c>
      <c r="G68" s="93">
        <v>28500</v>
      </c>
      <c r="H68" s="93">
        <v>2200</v>
      </c>
      <c r="I68" s="93">
        <v>4205</v>
      </c>
      <c r="J68" s="93">
        <v>1795</v>
      </c>
      <c r="K68" s="108">
        <f>(F68*138.66)*SUM(1,Macrogegevens!$C$4,0.5*Macrogegevens!$C$6,Macrogegevens!$C$8)</f>
        <v>3917133.0613740003</v>
      </c>
      <c r="L68" s="108">
        <f t="shared" si="15"/>
        <v>2069049.2000000002</v>
      </c>
      <c r="M68" s="108">
        <v>5893037.654122768</v>
      </c>
      <c r="N68" s="108">
        <v>3155067.7681706073</v>
      </c>
      <c r="O68" s="108">
        <v>0</v>
      </c>
      <c r="P68" s="108">
        <f t="shared" si="10"/>
        <v>9048105.4222933762</v>
      </c>
      <c r="Q68" s="108">
        <v>48489000</v>
      </c>
      <c r="R68" s="155">
        <v>23.515169301881947</v>
      </c>
      <c r="S68" s="122">
        <v>0.106</v>
      </c>
      <c r="T68" s="122">
        <v>0.1452</v>
      </c>
      <c r="U68" s="122">
        <v>0.12039999999999999</v>
      </c>
      <c r="V68" s="122" t="s">
        <v>276</v>
      </c>
      <c r="W68" s="108">
        <v>2180000000</v>
      </c>
      <c r="X68" s="108">
        <v>475649999.99999994</v>
      </c>
      <c r="Y68" s="108">
        <v>540750000</v>
      </c>
      <c r="Z68" s="108">
        <f t="shared" si="11"/>
        <v>2310800</v>
      </c>
      <c r="AA68" s="108">
        <f t="shared" si="12"/>
        <v>1341706.7999999998</v>
      </c>
      <c r="AB68" s="108">
        <f t="shared" si="13"/>
        <v>5721556</v>
      </c>
      <c r="AC68" s="108">
        <f t="shared" si="14"/>
        <v>2069049.2000000002</v>
      </c>
    </row>
    <row r="69" spans="1:29" x14ac:dyDescent="0.2">
      <c r="A69" s="124" t="s">
        <v>254</v>
      </c>
      <c r="B69" s="99">
        <f t="shared" si="8"/>
        <v>-9.6663984794953424E-3</v>
      </c>
      <c r="C69" t="s">
        <v>228</v>
      </c>
      <c r="D69" s="99">
        <f t="shared" si="9"/>
        <v>6.2387791741472173E-2</v>
      </c>
      <c r="E69" s="123">
        <v>47217235</v>
      </c>
      <c r="F69" s="219">
        <v>19058</v>
      </c>
      <c r="G69" s="93">
        <v>17400</v>
      </c>
      <c r="H69" s="93">
        <v>1114</v>
      </c>
      <c r="I69" s="93">
        <v>2515</v>
      </c>
      <c r="J69" s="93">
        <v>975</v>
      </c>
      <c r="K69" s="108">
        <f>(F69*138.66)*SUM(1,Macrogegevens!$C$4,0.5*Macrogegevens!$C$6,Macrogegevens!$C$8)</f>
        <v>2697283.7331960001</v>
      </c>
      <c r="L69" s="108">
        <f t="shared" si="15"/>
        <v>359881.25</v>
      </c>
      <c r="M69" s="108">
        <v>3412263.6720442898</v>
      </c>
      <c r="N69" s="108">
        <v>3691894.3686796469</v>
      </c>
      <c r="O69" s="108">
        <v>0</v>
      </c>
      <c r="P69" s="108">
        <f t="shared" si="10"/>
        <v>7104158.0407239366</v>
      </c>
      <c r="Q69" s="108">
        <v>46653594</v>
      </c>
      <c r="R69" s="155">
        <v>725.19836125084271</v>
      </c>
      <c r="S69" s="122">
        <v>0.14729999999999999</v>
      </c>
      <c r="T69" s="122">
        <v>0.1885</v>
      </c>
      <c r="U69" s="122">
        <v>0.14649999999999999</v>
      </c>
      <c r="V69" s="122" t="s">
        <v>254</v>
      </c>
      <c r="W69" s="108">
        <v>1004000000</v>
      </c>
      <c r="X69" s="108">
        <v>137900000</v>
      </c>
      <c r="Y69" s="108">
        <v>168350000</v>
      </c>
      <c r="Z69" s="108">
        <f t="shared" si="11"/>
        <v>1478892</v>
      </c>
      <c r="AA69" s="108">
        <f t="shared" si="12"/>
        <v>506574.25</v>
      </c>
      <c r="AB69" s="108">
        <f t="shared" si="13"/>
        <v>2345347.5</v>
      </c>
      <c r="AC69" s="108">
        <f t="shared" si="14"/>
        <v>359881.25</v>
      </c>
    </row>
    <row r="70" spans="1:29" x14ac:dyDescent="0.2">
      <c r="A70" s="124" t="s">
        <v>358</v>
      </c>
      <c r="B70" s="99">
        <f t="shared" si="8"/>
        <v>-1.2409791879095429E-3</v>
      </c>
      <c r="C70" t="s">
        <v>689</v>
      </c>
      <c r="D70" s="99">
        <f t="shared" si="9"/>
        <v>4.1753035238377256E-2</v>
      </c>
      <c r="E70" s="123">
        <v>94792835</v>
      </c>
      <c r="F70" s="219">
        <v>42171</v>
      </c>
      <c r="G70" s="93">
        <v>41700</v>
      </c>
      <c r="H70" s="93">
        <v>3377</v>
      </c>
      <c r="I70" s="93">
        <v>7615</v>
      </c>
      <c r="J70" s="93">
        <v>3095</v>
      </c>
      <c r="K70" s="108">
        <f>(F70*138.66)*SUM(1,Macrogegevens!$C$4,0.5*Macrogegevens!$C$6,Macrogegevens!$C$8)</f>
        <v>5968472.6788020004</v>
      </c>
      <c r="L70" s="108">
        <f t="shared" si="15"/>
        <v>3495222.2</v>
      </c>
      <c r="M70" s="108">
        <v>7412333.8998434637</v>
      </c>
      <c r="N70" s="108">
        <v>4322175.9582762625</v>
      </c>
      <c r="O70" s="108">
        <v>0</v>
      </c>
      <c r="P70" s="108">
        <f t="shared" si="10"/>
        <v>11734509.858119726</v>
      </c>
      <c r="Q70" s="108">
        <v>95630235</v>
      </c>
      <c r="R70" s="155">
        <v>1449.6275317133541</v>
      </c>
      <c r="S70" s="122">
        <v>0.1087</v>
      </c>
      <c r="T70" s="122">
        <v>0.20300000000000001</v>
      </c>
      <c r="U70" s="122">
        <v>0.16239999999999999</v>
      </c>
      <c r="V70" s="122" t="s">
        <v>358</v>
      </c>
      <c r="W70" s="108">
        <v>5019600000</v>
      </c>
      <c r="X70" s="108">
        <v>583800000</v>
      </c>
      <c r="Y70" s="108">
        <v>641900000</v>
      </c>
      <c r="Z70" s="108">
        <f t="shared" si="11"/>
        <v>5456305.2000000002</v>
      </c>
      <c r="AA70" s="108">
        <f t="shared" si="12"/>
        <v>2227559.5999999996</v>
      </c>
      <c r="AB70" s="108">
        <f t="shared" si="13"/>
        <v>11179087</v>
      </c>
      <c r="AC70" s="108">
        <f t="shared" si="14"/>
        <v>3495222.2</v>
      </c>
    </row>
    <row r="71" spans="1:29" x14ac:dyDescent="0.2">
      <c r="A71" s="124" t="s">
        <v>255</v>
      </c>
      <c r="B71" s="99">
        <f t="shared" si="8"/>
        <v>-1.4520928559198792E-4</v>
      </c>
      <c r="C71" t="s">
        <v>228</v>
      </c>
      <c r="D71" s="99">
        <f t="shared" si="9"/>
        <v>3.9198414446157237E-2</v>
      </c>
      <c r="E71" s="123">
        <v>117541464</v>
      </c>
      <c r="F71" s="219">
        <v>51267</v>
      </c>
      <c r="G71" s="93">
        <v>51200</v>
      </c>
      <c r="H71" s="93">
        <v>4541</v>
      </c>
      <c r="I71" s="93">
        <v>10130</v>
      </c>
      <c r="J71" s="93">
        <v>4185</v>
      </c>
      <c r="K71" s="108">
        <f>(F71*138.66)*SUM(1,Macrogegevens!$C$4,0.5*Macrogegevens!$C$6,Macrogegevens!$C$8)</f>
        <v>7255831.9419540009</v>
      </c>
      <c r="L71" s="108">
        <f t="shared" si="15"/>
        <v>2710362.7149999999</v>
      </c>
      <c r="M71" s="108">
        <v>9354041.6602355018</v>
      </c>
      <c r="N71" s="108">
        <v>6886748.9723059013</v>
      </c>
      <c r="O71" s="108">
        <v>0</v>
      </c>
      <c r="P71" s="108">
        <f t="shared" si="10"/>
        <v>16240790.632541403</v>
      </c>
      <c r="Q71" s="108">
        <v>127268660</v>
      </c>
      <c r="R71" s="155">
        <v>701</v>
      </c>
      <c r="S71" s="122">
        <v>0.11700000000000001</v>
      </c>
      <c r="T71" s="122">
        <v>0.19</v>
      </c>
      <c r="U71" s="122">
        <v>0.14499999999999999</v>
      </c>
      <c r="V71" s="122" t="s">
        <v>255</v>
      </c>
      <c r="W71" s="108">
        <v>4029292000</v>
      </c>
      <c r="X71" s="108">
        <v>817792500</v>
      </c>
      <c r="Y71" s="108">
        <v>888702500</v>
      </c>
      <c r="Z71" s="108">
        <f t="shared" si="11"/>
        <v>4714271.6400000006</v>
      </c>
      <c r="AA71" s="108">
        <f t="shared" si="12"/>
        <v>2842424.375</v>
      </c>
      <c r="AB71" s="108">
        <f t="shared" si="13"/>
        <v>10267058.73</v>
      </c>
      <c r="AC71" s="108">
        <f t="shared" si="14"/>
        <v>2710362.7149999999</v>
      </c>
    </row>
    <row r="72" spans="1:29" x14ac:dyDescent="0.2">
      <c r="A72" s="124" t="s">
        <v>232</v>
      </c>
      <c r="B72" s="99">
        <f t="shared" si="8"/>
        <v>1.5532366388834198E-3</v>
      </c>
      <c r="C72" t="s">
        <v>228</v>
      </c>
      <c r="D72" s="99">
        <f t="shared" si="9"/>
        <v>3.2019704433497539E-2</v>
      </c>
      <c r="E72" s="123">
        <v>28254000</v>
      </c>
      <c r="F72" s="219">
        <v>10158</v>
      </c>
      <c r="G72" s="93">
        <v>10300</v>
      </c>
      <c r="H72" s="93">
        <v>812</v>
      </c>
      <c r="I72" s="93">
        <v>1630</v>
      </c>
      <c r="J72" s="93">
        <v>760</v>
      </c>
      <c r="K72" s="108">
        <f>(F72*138.66)*SUM(1,Macrogegevens!$C$4,0.5*Macrogegevens!$C$6,Macrogegevens!$C$8)</f>
        <v>1437664.4013960003</v>
      </c>
      <c r="L72" s="108">
        <f t="shared" si="15"/>
        <v>0</v>
      </c>
      <c r="M72" s="108">
        <v>3268833.3108271398</v>
      </c>
      <c r="N72" s="108">
        <v>1699765.3203288321</v>
      </c>
      <c r="O72" s="108">
        <v>0</v>
      </c>
      <c r="P72" s="108">
        <f t="shared" si="10"/>
        <v>4968598.6311559714</v>
      </c>
      <c r="Q72" s="108">
        <v>28292000</v>
      </c>
      <c r="R72" s="155">
        <v>3023.5584686995344</v>
      </c>
      <c r="S72" s="122">
        <v>0.15690000000000001</v>
      </c>
      <c r="T72" s="122">
        <v>0.24979999999999999</v>
      </c>
      <c r="U72" s="122">
        <v>0.20699999999999999</v>
      </c>
      <c r="V72" s="122" t="s">
        <v>232</v>
      </c>
      <c r="W72" s="108">
        <v>572000000</v>
      </c>
      <c r="X72" s="108">
        <v>161700000</v>
      </c>
      <c r="Y72" s="108">
        <v>185150000</v>
      </c>
      <c r="Z72" s="108">
        <f t="shared" si="11"/>
        <v>897468</v>
      </c>
      <c r="AA72" s="108">
        <f t="shared" si="12"/>
        <v>787187.09999999986</v>
      </c>
      <c r="AB72" s="108">
        <f t="shared" si="13"/>
        <v>1644741.5</v>
      </c>
      <c r="AC72" s="108">
        <f t="shared" si="14"/>
        <v>-39913.59999999986</v>
      </c>
    </row>
    <row r="73" spans="1:29" x14ac:dyDescent="0.2">
      <c r="A73" s="124" t="s">
        <v>359</v>
      </c>
      <c r="B73" s="99">
        <f t="shared" si="8"/>
        <v>-3.1045367978920456E-3</v>
      </c>
      <c r="C73" t="s">
        <v>689</v>
      </c>
      <c r="D73" s="99">
        <f t="shared" si="9"/>
        <v>-9.5300261096605748E-2</v>
      </c>
      <c r="E73" s="123">
        <v>73153000</v>
      </c>
      <c r="F73" s="219">
        <v>42590</v>
      </c>
      <c r="G73" s="93">
        <v>41400</v>
      </c>
      <c r="H73" s="93">
        <v>3830</v>
      </c>
      <c r="I73" s="93">
        <v>9135</v>
      </c>
      <c r="J73" s="93">
        <v>4560</v>
      </c>
      <c r="K73" s="108">
        <f>(F73*138.66)*SUM(1,Macrogegevens!$C$4,0.5*Macrogegevens!$C$6,Macrogegevens!$C$8)</f>
        <v>6027773.8585800007</v>
      </c>
      <c r="L73" s="108">
        <f t="shared" si="15"/>
        <v>4608488.5</v>
      </c>
      <c r="M73" s="108">
        <v>6121666.5630178526</v>
      </c>
      <c r="N73" s="108">
        <v>3944722.4902310502</v>
      </c>
      <c r="O73" s="108">
        <v>0</v>
      </c>
      <c r="P73" s="108">
        <f t="shared" si="10"/>
        <v>10066389.053248903</v>
      </c>
      <c r="Q73" s="108">
        <v>73144000</v>
      </c>
      <c r="R73" s="155">
        <v>1158.1686046511627</v>
      </c>
      <c r="S73" s="122">
        <v>9.1300000000000006E-2</v>
      </c>
      <c r="T73" s="122">
        <v>0.12889999999999999</v>
      </c>
      <c r="U73" s="122">
        <v>0.1027</v>
      </c>
      <c r="V73" s="122" t="s">
        <v>359</v>
      </c>
      <c r="W73" s="108">
        <v>4362400000</v>
      </c>
      <c r="X73" s="108">
        <v>588350000</v>
      </c>
      <c r="Y73" s="108">
        <v>639450000</v>
      </c>
      <c r="Z73" s="108">
        <f t="shared" si="11"/>
        <v>3982871.2</v>
      </c>
      <c r="AA73" s="108">
        <f t="shared" si="12"/>
        <v>1415098.2999999998</v>
      </c>
      <c r="AB73" s="108">
        <f t="shared" si="13"/>
        <v>10006458</v>
      </c>
      <c r="AC73" s="108">
        <f t="shared" si="14"/>
        <v>4608488.5</v>
      </c>
    </row>
    <row r="74" spans="1:29" x14ac:dyDescent="0.2">
      <c r="A74" s="124" t="s">
        <v>227</v>
      </c>
      <c r="B74" s="99">
        <f t="shared" si="8"/>
        <v>-5.8904765931061696E-3</v>
      </c>
      <c r="C74" t="s">
        <v>689</v>
      </c>
      <c r="D74" s="99">
        <f t="shared" si="9"/>
        <v>7.9105166051660514E-2</v>
      </c>
      <c r="E74" s="123">
        <v>46977707</v>
      </c>
      <c r="F74" s="219">
        <v>23654</v>
      </c>
      <c r="G74" s="93">
        <v>22400</v>
      </c>
      <c r="H74" s="93">
        <v>2168</v>
      </c>
      <c r="I74" s="93">
        <v>4095</v>
      </c>
      <c r="J74" s="93">
        <v>1825</v>
      </c>
      <c r="K74" s="108">
        <f>(F74*138.66)*SUM(1,Macrogegevens!$C$4,0.5*Macrogegevens!$C$6,Macrogegevens!$C$8)</f>
        <v>3347756.8173480006</v>
      </c>
      <c r="L74" s="108">
        <f t="shared" si="15"/>
        <v>1624522.25</v>
      </c>
      <c r="M74" s="108">
        <v>3406783.426276918</v>
      </c>
      <c r="N74" s="108">
        <v>3251043.3494591485</v>
      </c>
      <c r="O74" s="108">
        <v>0</v>
      </c>
      <c r="P74" s="108">
        <f t="shared" si="10"/>
        <v>6657826.7757360665</v>
      </c>
      <c r="Q74" s="108">
        <v>48746821</v>
      </c>
      <c r="R74" s="155">
        <v>21.165592127587377</v>
      </c>
      <c r="S74" s="122">
        <v>0.111</v>
      </c>
      <c r="T74" s="122">
        <v>0.13250000000000001</v>
      </c>
      <c r="U74" s="122">
        <v>0.113</v>
      </c>
      <c r="V74" s="122" t="s">
        <v>227</v>
      </c>
      <c r="W74" s="108">
        <v>1865200000</v>
      </c>
      <c r="X74" s="108">
        <v>279650000</v>
      </c>
      <c r="Y74" s="108">
        <v>342650000</v>
      </c>
      <c r="Z74" s="108">
        <f t="shared" si="11"/>
        <v>2070372.0000000002</v>
      </c>
      <c r="AA74" s="108">
        <f t="shared" si="12"/>
        <v>757730.75</v>
      </c>
      <c r="AB74" s="108">
        <f t="shared" si="13"/>
        <v>4452625</v>
      </c>
      <c r="AC74" s="108">
        <f t="shared" si="14"/>
        <v>1624522.25</v>
      </c>
    </row>
    <row r="75" spans="1:29" x14ac:dyDescent="0.2">
      <c r="A75" s="124" t="s">
        <v>443</v>
      </c>
      <c r="B75" s="99">
        <f t="shared" si="8"/>
        <v>1.4286043989014285E-2</v>
      </c>
      <c r="C75" t="s">
        <v>621</v>
      </c>
      <c r="D75" s="99">
        <f t="shared" si="9"/>
        <v>3.0391635654793549E-2</v>
      </c>
      <c r="E75" s="123">
        <v>328934000</v>
      </c>
      <c r="F75" s="219">
        <v>101101</v>
      </c>
      <c r="G75" s="93">
        <v>114100</v>
      </c>
      <c r="H75" s="93">
        <v>5643</v>
      </c>
      <c r="I75" s="93">
        <v>13160</v>
      </c>
      <c r="J75" s="93">
        <v>5300</v>
      </c>
      <c r="K75" s="108">
        <f>(F75*138.66)*SUM(1,Macrogegevens!$C$4,0.5*Macrogegevens!$C$6,Macrogegevens!$C$8)</f>
        <v>14308851.018462002</v>
      </c>
      <c r="L75" s="108">
        <f t="shared" si="15"/>
        <v>973182.92500000075</v>
      </c>
      <c r="M75" s="108">
        <v>20497713.54763598</v>
      </c>
      <c r="N75" s="108">
        <v>10408558.564544575</v>
      </c>
      <c r="O75" s="108">
        <v>18107401.549860757</v>
      </c>
      <c r="P75" s="108">
        <f t="shared" si="10"/>
        <v>49013673.662041306</v>
      </c>
      <c r="Q75" s="108">
        <v>348401000</v>
      </c>
      <c r="R75" s="155">
        <v>4494.791236047954</v>
      </c>
      <c r="S75" s="122">
        <v>0.13758999999999999</v>
      </c>
      <c r="T75" s="122">
        <v>0.26399</v>
      </c>
      <c r="U75" s="122">
        <v>0.21140999999999999</v>
      </c>
      <c r="V75" s="122" t="s">
        <v>443</v>
      </c>
      <c r="W75" s="108">
        <v>6761600000</v>
      </c>
      <c r="X75" s="108">
        <v>1550150000</v>
      </c>
      <c r="Y75" s="108">
        <v>1571500000</v>
      </c>
      <c r="Z75" s="108">
        <f t="shared" si="11"/>
        <v>9303285.4399999995</v>
      </c>
      <c r="AA75" s="108">
        <f t="shared" si="12"/>
        <v>7414549.1349999998</v>
      </c>
      <c r="AB75" s="108">
        <f t="shared" si="13"/>
        <v>17691017.5</v>
      </c>
      <c r="AC75" s="108">
        <f t="shared" si="14"/>
        <v>973182.92500000075</v>
      </c>
    </row>
    <row r="76" spans="1:29" x14ac:dyDescent="0.2">
      <c r="A76" s="124" t="s">
        <v>233</v>
      </c>
      <c r="B76" s="99">
        <f t="shared" si="8"/>
        <v>-8.4730957372466803E-3</v>
      </c>
      <c r="C76" t="s">
        <v>621</v>
      </c>
      <c r="D76" s="99">
        <f t="shared" si="9"/>
        <v>8.7976539589442824E-3</v>
      </c>
      <c r="E76" s="123">
        <v>76863000</v>
      </c>
      <c r="F76" s="219">
        <v>25440</v>
      </c>
      <c r="G76" s="93">
        <v>23500</v>
      </c>
      <c r="H76" s="93">
        <v>1364</v>
      </c>
      <c r="I76" s="93">
        <v>3285</v>
      </c>
      <c r="J76" s="93">
        <v>1340</v>
      </c>
      <c r="K76" s="108">
        <f>(F76*138.66)*SUM(1,Macrogegevens!$C$4,0.5*Macrogegevens!$C$6,Macrogegevens!$C$8)</f>
        <v>3600529.8652800005</v>
      </c>
      <c r="L76" s="108">
        <f t="shared" si="15"/>
        <v>0</v>
      </c>
      <c r="M76" s="108">
        <v>8949207.25311343</v>
      </c>
      <c r="N76" s="108">
        <v>3965260.8546325509</v>
      </c>
      <c r="O76" s="108">
        <v>0</v>
      </c>
      <c r="P76" s="108">
        <f t="shared" si="10"/>
        <v>12914468.107745981</v>
      </c>
      <c r="Q76" s="108">
        <v>77941000</v>
      </c>
      <c r="R76" s="155">
        <v>1987.8730993054253</v>
      </c>
      <c r="S76" s="122">
        <v>0.183</v>
      </c>
      <c r="T76" s="122">
        <v>0.38119999999999998</v>
      </c>
      <c r="U76" s="122">
        <v>0.3049</v>
      </c>
      <c r="V76" s="122" t="s">
        <v>233</v>
      </c>
      <c r="W76" s="108">
        <v>1235600000</v>
      </c>
      <c r="X76" s="108">
        <v>658350000</v>
      </c>
      <c r="Y76" s="108">
        <v>684950000</v>
      </c>
      <c r="Z76" s="108">
        <f t="shared" si="11"/>
        <v>2261148</v>
      </c>
      <c r="AA76" s="108">
        <f t="shared" si="12"/>
        <v>4598042.75</v>
      </c>
      <c r="AB76" s="108">
        <f t="shared" si="13"/>
        <v>4616231</v>
      </c>
      <c r="AC76" s="108">
        <f t="shared" si="14"/>
        <v>-2242959.75</v>
      </c>
    </row>
    <row r="77" spans="1:29" x14ac:dyDescent="0.2">
      <c r="A77" s="124" t="s">
        <v>390</v>
      </c>
      <c r="B77" s="99">
        <f t="shared" si="8"/>
        <v>1.9925921991884071E-3</v>
      </c>
      <c r="C77" t="s">
        <v>621</v>
      </c>
      <c r="D77" s="99">
        <f t="shared" si="9"/>
        <v>2.2916666666666665E-2</v>
      </c>
      <c r="E77" s="123">
        <v>167129000</v>
      </c>
      <c r="F77" s="219">
        <v>56487</v>
      </c>
      <c r="G77" s="93">
        <v>57500</v>
      </c>
      <c r="H77" s="93">
        <v>2400</v>
      </c>
      <c r="I77" s="93">
        <v>5380</v>
      </c>
      <c r="J77" s="93">
        <v>2290</v>
      </c>
      <c r="K77" s="108">
        <f>(F77*138.66)*SUM(1,Macrogegevens!$C$4,0.5*Macrogegevens!$C$6,Macrogegevens!$C$8)</f>
        <v>7994619.9095940012</v>
      </c>
      <c r="L77" s="108">
        <f t="shared" si="15"/>
        <v>0</v>
      </c>
      <c r="M77" s="108">
        <v>20311436.9858642</v>
      </c>
      <c r="N77" s="108">
        <v>8341802.5467646755</v>
      </c>
      <c r="O77" s="108">
        <v>6722301.6963443132</v>
      </c>
      <c r="P77" s="108">
        <f t="shared" si="10"/>
        <v>35375541.228973188</v>
      </c>
      <c r="Q77" s="108">
        <v>172101000</v>
      </c>
      <c r="R77" s="155">
        <v>2615.6995278992385</v>
      </c>
      <c r="S77" s="122">
        <v>0.13389999999999999</v>
      </c>
      <c r="T77" s="122">
        <v>0.32219999999999999</v>
      </c>
      <c r="U77" s="122">
        <v>0.25969999999999999</v>
      </c>
      <c r="V77" s="122" t="s">
        <v>390</v>
      </c>
      <c r="W77" s="108">
        <v>3336000000</v>
      </c>
      <c r="X77" s="108">
        <v>858200000</v>
      </c>
      <c r="Y77" s="108">
        <v>876750000</v>
      </c>
      <c r="Z77" s="108">
        <f t="shared" si="11"/>
        <v>4466904</v>
      </c>
      <c r="AA77" s="108">
        <f t="shared" si="12"/>
        <v>5042040.1500000004</v>
      </c>
      <c r="AB77" s="108">
        <f t="shared" si="13"/>
        <v>9077000.5</v>
      </c>
      <c r="AC77" s="108">
        <f t="shared" si="14"/>
        <v>-431943.65000000037</v>
      </c>
    </row>
    <row r="78" spans="1:29" x14ac:dyDescent="0.2">
      <c r="A78" s="124" t="s">
        <v>524</v>
      </c>
      <c r="B78" s="99">
        <f t="shared" si="8"/>
        <v>-4.0986473065032806E-3</v>
      </c>
      <c r="C78" t="s">
        <v>228</v>
      </c>
      <c r="D78" s="99">
        <f t="shared" si="9"/>
        <v>3.9711191335740074E-2</v>
      </c>
      <c r="E78" s="123">
        <v>77003000</v>
      </c>
      <c r="F78" s="219">
        <v>31772</v>
      </c>
      <c r="G78" s="93">
        <v>30600</v>
      </c>
      <c r="H78" s="93">
        <v>2493</v>
      </c>
      <c r="I78" s="93">
        <v>5655</v>
      </c>
      <c r="J78" s="93">
        <v>2295</v>
      </c>
      <c r="K78" s="108">
        <f>(F78*138.66)*SUM(1,Macrogegevens!$C$4,0.5*Macrogegevens!$C$6,Macrogegevens!$C$8)</f>
        <v>4496699.4842640003</v>
      </c>
      <c r="L78" s="108">
        <f t="shared" si="15"/>
        <v>1225254.55</v>
      </c>
      <c r="M78" s="108">
        <v>7279441.5175663671</v>
      </c>
      <c r="N78" s="108">
        <v>3562328.9192223502</v>
      </c>
      <c r="O78" s="108">
        <v>0</v>
      </c>
      <c r="P78" s="108">
        <f t="shared" si="10"/>
        <v>10841770.436788717</v>
      </c>
      <c r="Q78" s="108">
        <v>77172000</v>
      </c>
      <c r="R78" s="155">
        <v>2748.7153460635664</v>
      </c>
      <c r="S78" s="122">
        <v>0.1462</v>
      </c>
      <c r="T78" s="122">
        <v>0.16719999999999999</v>
      </c>
      <c r="U78" s="122">
        <v>0.13289999999999999</v>
      </c>
      <c r="V78" s="122" t="s">
        <v>524</v>
      </c>
      <c r="W78" s="108">
        <v>2622800000</v>
      </c>
      <c r="X78" s="108">
        <v>572950000</v>
      </c>
      <c r="Y78" s="108">
        <v>645050000</v>
      </c>
      <c r="Z78" s="108">
        <f t="shared" si="11"/>
        <v>3834533.6</v>
      </c>
      <c r="AA78" s="108">
        <f t="shared" si="12"/>
        <v>1815243.8499999999</v>
      </c>
      <c r="AB78" s="108">
        <f t="shared" si="13"/>
        <v>6875032</v>
      </c>
      <c r="AC78" s="108">
        <f t="shared" si="14"/>
        <v>1225254.55</v>
      </c>
    </row>
    <row r="79" spans="1:29" x14ac:dyDescent="0.2">
      <c r="A79" s="124" t="s">
        <v>277</v>
      </c>
      <c r="B79" s="99">
        <f t="shared" si="8"/>
        <v>7.3213840585349792E-3</v>
      </c>
      <c r="C79" t="s">
        <v>621</v>
      </c>
      <c r="D79" s="99">
        <f t="shared" si="9"/>
        <v>4.6725599855673823E-2</v>
      </c>
      <c r="E79" s="123">
        <v>262036000</v>
      </c>
      <c r="F79" s="219">
        <v>98509</v>
      </c>
      <c r="G79" s="93">
        <v>105000</v>
      </c>
      <c r="H79" s="93">
        <v>5543</v>
      </c>
      <c r="I79" s="93">
        <v>12400</v>
      </c>
      <c r="J79" s="93">
        <v>5025</v>
      </c>
      <c r="K79" s="108">
        <f>(F79*138.66)*SUM(1,Macrogegevens!$C$4,0.5*Macrogegevens!$C$6,Macrogegevens!$C$8)</f>
        <v>13942004.579358002</v>
      </c>
      <c r="L79" s="108">
        <f t="shared" si="15"/>
        <v>263402.5</v>
      </c>
      <c r="M79" s="108">
        <v>25533127.641159613</v>
      </c>
      <c r="N79" s="108">
        <v>11025965.309317499</v>
      </c>
      <c r="O79" s="108">
        <v>12982978.824924149</v>
      </c>
      <c r="P79" s="108">
        <f t="shared" si="10"/>
        <v>49542071.775401257</v>
      </c>
      <c r="Q79" s="108">
        <v>276748000</v>
      </c>
      <c r="R79" s="155">
        <v>1420.1151000274049</v>
      </c>
      <c r="S79" s="122">
        <v>0.13389999999999999</v>
      </c>
      <c r="T79" s="122">
        <v>0.29780000000000001</v>
      </c>
      <c r="U79" s="122">
        <v>0.24110000000000001</v>
      </c>
      <c r="V79" s="122" t="s">
        <v>277</v>
      </c>
      <c r="W79" s="108">
        <v>6498400000</v>
      </c>
      <c r="X79" s="108">
        <v>1456000000</v>
      </c>
      <c r="Y79" s="108">
        <v>1509900000</v>
      </c>
      <c r="Z79" s="108">
        <f t="shared" si="11"/>
        <v>8701357.5999999996</v>
      </c>
      <c r="AA79" s="108">
        <f t="shared" si="12"/>
        <v>7976336.9000000004</v>
      </c>
      <c r="AB79" s="108">
        <f t="shared" si="13"/>
        <v>16941097</v>
      </c>
      <c r="AC79" s="108">
        <f t="shared" si="14"/>
        <v>263402.5</v>
      </c>
    </row>
    <row r="80" spans="1:29" x14ac:dyDescent="0.2">
      <c r="A80" s="124" t="s">
        <v>391</v>
      </c>
      <c r="B80" s="99">
        <f t="shared" si="8"/>
        <v>3.4235449933778146E-3</v>
      </c>
      <c r="C80" t="s">
        <v>621</v>
      </c>
      <c r="D80" s="99">
        <f t="shared" si="9"/>
        <v>3.7438118811881187E-2</v>
      </c>
      <c r="E80" s="123">
        <v>69062000</v>
      </c>
      <c r="F80" s="219">
        <v>26678</v>
      </c>
      <c r="G80" s="93">
        <v>27500</v>
      </c>
      <c r="H80" s="93">
        <v>1616</v>
      </c>
      <c r="I80" s="93">
        <v>3805</v>
      </c>
      <c r="J80" s="93">
        <v>1495</v>
      </c>
      <c r="K80" s="108">
        <f>(F80*138.66)*SUM(1,Macrogegevens!$C$4,0.5*Macrogegevens!$C$6,Macrogegevens!$C$8)</f>
        <v>3775744.3296360006</v>
      </c>
      <c r="L80" s="108">
        <f t="shared" si="15"/>
        <v>858220.39999999991</v>
      </c>
      <c r="M80" s="108">
        <v>3871553.5026502949</v>
      </c>
      <c r="N80" s="108">
        <v>2567613.023494611</v>
      </c>
      <c r="O80" s="108">
        <v>0</v>
      </c>
      <c r="P80" s="108">
        <f t="shared" si="10"/>
        <v>6439166.5261449059</v>
      </c>
      <c r="Q80" s="108">
        <v>70733000</v>
      </c>
      <c r="R80" s="155">
        <v>3117.5207615961108</v>
      </c>
      <c r="S80" s="122">
        <v>0.10680000000000001</v>
      </c>
      <c r="T80" s="122">
        <v>0.24379999999999999</v>
      </c>
      <c r="U80" s="122">
        <v>0.2286</v>
      </c>
      <c r="V80" s="122" t="s">
        <v>391</v>
      </c>
      <c r="W80" s="108">
        <v>1949600000</v>
      </c>
      <c r="X80" s="108">
        <v>477049999.99999994</v>
      </c>
      <c r="Y80" s="108">
        <v>484399999.99999994</v>
      </c>
      <c r="Z80" s="108">
        <f t="shared" si="11"/>
        <v>2082172.8000000003</v>
      </c>
      <c r="AA80" s="108">
        <f t="shared" si="12"/>
        <v>2270386.2999999998</v>
      </c>
      <c r="AB80" s="108">
        <f t="shared" si="13"/>
        <v>5210779.5</v>
      </c>
      <c r="AC80" s="108">
        <f t="shared" si="14"/>
        <v>858220.39999999991</v>
      </c>
    </row>
    <row r="81" spans="1:29" x14ac:dyDescent="0.2">
      <c r="A81" s="124" t="s">
        <v>278</v>
      </c>
      <c r="B81" s="99">
        <f t="shared" si="8"/>
        <v>-2.2710716887346274E-3</v>
      </c>
      <c r="C81" t="s">
        <v>689</v>
      </c>
      <c r="D81" s="99">
        <f t="shared" si="9"/>
        <v>9.5902746510580825E-2</v>
      </c>
      <c r="E81" s="123">
        <v>57918000</v>
      </c>
      <c r="F81" s="219">
        <v>25930</v>
      </c>
      <c r="G81" s="93">
        <v>25400</v>
      </c>
      <c r="H81" s="93">
        <v>2221</v>
      </c>
      <c r="I81" s="93">
        <v>4410</v>
      </c>
      <c r="J81" s="93">
        <v>1795</v>
      </c>
      <c r="K81" s="108">
        <f>(F81*138.66)*SUM(1,Macrogegevens!$C$4,0.5*Macrogegevens!$C$6,Macrogegevens!$C$8)</f>
        <v>3669879.6936600003</v>
      </c>
      <c r="L81" s="108">
        <f t="shared" si="15"/>
        <v>849657.19999999972</v>
      </c>
      <c r="M81" s="108">
        <v>3961701.2878025132</v>
      </c>
      <c r="N81" s="108">
        <v>3842672.3443657272</v>
      </c>
      <c r="O81" s="108">
        <v>0</v>
      </c>
      <c r="P81" s="108">
        <f t="shared" si="10"/>
        <v>7804373.6321682408</v>
      </c>
      <c r="Q81" s="108">
        <v>62381000</v>
      </c>
      <c r="R81" s="155">
        <v>1222.5803975746412</v>
      </c>
      <c r="S81" s="122">
        <v>0.13739999999999999</v>
      </c>
      <c r="T81" s="122">
        <v>0.19520000000000001</v>
      </c>
      <c r="U81" s="122">
        <v>0.15670000000000001</v>
      </c>
      <c r="V81" s="122" t="s">
        <v>278</v>
      </c>
      <c r="W81" s="108">
        <v>1934800000</v>
      </c>
      <c r="X81" s="108">
        <v>434700000</v>
      </c>
      <c r="Y81" s="108">
        <v>516599999.99999994</v>
      </c>
      <c r="Z81" s="108">
        <f t="shared" si="11"/>
        <v>2658415.2000000002</v>
      </c>
      <c r="AA81" s="108">
        <f t="shared" si="12"/>
        <v>1658046.6</v>
      </c>
      <c r="AB81" s="108">
        <f t="shared" si="13"/>
        <v>5166119</v>
      </c>
      <c r="AC81" s="108">
        <f t="shared" si="14"/>
        <v>849657.19999999972</v>
      </c>
    </row>
    <row r="82" spans="1:29" x14ac:dyDescent="0.2">
      <c r="A82" s="124" t="s">
        <v>308</v>
      </c>
      <c r="B82" s="99">
        <f t="shared" si="8"/>
        <v>-2.5047943329028219E-3</v>
      </c>
      <c r="C82" t="s">
        <v>621</v>
      </c>
      <c r="D82" s="99">
        <f t="shared" si="9"/>
        <v>4.2079207920792082E-2</v>
      </c>
      <c r="E82" s="123">
        <v>29277240</v>
      </c>
      <c r="F82" s="219">
        <v>11356</v>
      </c>
      <c r="G82" s="93">
        <v>11100</v>
      </c>
      <c r="H82" s="93">
        <v>606</v>
      </c>
      <c r="I82" s="93">
        <v>1440</v>
      </c>
      <c r="J82" s="93">
        <v>555</v>
      </c>
      <c r="K82" s="108">
        <f>(F82*138.66)*SUM(1,Macrogegevens!$C$4,0.5*Macrogegevens!$C$6,Macrogegevens!$C$8)</f>
        <v>1607217.6552720002</v>
      </c>
      <c r="L82" s="108">
        <f t="shared" si="15"/>
        <v>428559.75</v>
      </c>
      <c r="M82" s="108">
        <v>3525569.5459820628</v>
      </c>
      <c r="N82" s="108">
        <v>2166255.5186601286</v>
      </c>
      <c r="O82" s="108">
        <v>0</v>
      </c>
      <c r="P82" s="108">
        <f t="shared" si="10"/>
        <v>5691825.0646421909</v>
      </c>
      <c r="Q82" s="108">
        <v>27915951</v>
      </c>
      <c r="R82" s="155">
        <v>-312.15517241379308</v>
      </c>
      <c r="S82" s="122">
        <v>0.1343</v>
      </c>
      <c r="T82" s="122">
        <v>0.16170000000000001</v>
      </c>
      <c r="U82" s="122">
        <v>0.122</v>
      </c>
      <c r="V82" s="122" t="s">
        <v>308</v>
      </c>
      <c r="W82" s="108">
        <v>788400000</v>
      </c>
      <c r="X82" s="108">
        <v>97650000</v>
      </c>
      <c r="Y82" s="108">
        <v>103950000</v>
      </c>
      <c r="Z82" s="108">
        <f t="shared" si="11"/>
        <v>1058821.2</v>
      </c>
      <c r="AA82" s="108">
        <f t="shared" si="12"/>
        <v>284719.05000000005</v>
      </c>
      <c r="AB82" s="108">
        <f t="shared" si="13"/>
        <v>1772100</v>
      </c>
      <c r="AC82" s="108">
        <f t="shared" si="14"/>
        <v>428559.75</v>
      </c>
    </row>
    <row r="83" spans="1:29" x14ac:dyDescent="0.2">
      <c r="A83" s="124" t="s">
        <v>309</v>
      </c>
      <c r="B83" s="99">
        <f t="shared" si="8"/>
        <v>-2.3483319762570656E-3</v>
      </c>
      <c r="C83" t="s">
        <v>228</v>
      </c>
      <c r="D83" s="99">
        <f t="shared" si="9"/>
        <v>4.3640234167110166E-2</v>
      </c>
      <c r="E83" s="123">
        <v>170758000</v>
      </c>
      <c r="F83" s="219">
        <v>56494</v>
      </c>
      <c r="G83" s="93">
        <v>55300</v>
      </c>
      <c r="H83" s="93">
        <v>3758</v>
      </c>
      <c r="I83" s="93">
        <v>8765</v>
      </c>
      <c r="J83" s="93">
        <v>3430</v>
      </c>
      <c r="K83" s="108">
        <f>(F83*138.66)*SUM(1,Macrogegevens!$C$4,0.5*Macrogegevens!$C$6,Macrogegevens!$C$8)</f>
        <v>7995610.6214280017</v>
      </c>
      <c r="L83" s="108">
        <f t="shared" si="15"/>
        <v>2111080.1000000006</v>
      </c>
      <c r="M83" s="108">
        <v>16391138.08380495</v>
      </c>
      <c r="N83" s="108">
        <v>9510003.4798233118</v>
      </c>
      <c r="O83" s="108">
        <v>26434381.25609614</v>
      </c>
      <c r="P83" s="108">
        <f t="shared" si="10"/>
        <v>52335522.819724403</v>
      </c>
      <c r="Q83" s="108">
        <v>170028000</v>
      </c>
      <c r="R83" s="155">
        <v>2590.7000784201896</v>
      </c>
      <c r="S83" s="122">
        <v>0.1241</v>
      </c>
      <c r="T83" s="122">
        <v>0.19020000000000001</v>
      </c>
      <c r="U83" s="122">
        <v>0.17280000000000001</v>
      </c>
      <c r="V83" s="122" t="s">
        <v>309</v>
      </c>
      <c r="W83" s="108">
        <v>3931600000</v>
      </c>
      <c r="X83" s="108">
        <v>958649999.99999988</v>
      </c>
      <c r="Y83" s="108">
        <v>967749999.99999988</v>
      </c>
      <c r="Z83" s="108">
        <f t="shared" si="11"/>
        <v>4879115.5999999996</v>
      </c>
      <c r="AA83" s="108">
        <f t="shared" si="12"/>
        <v>3495624.3</v>
      </c>
      <c r="AB83" s="108">
        <f t="shared" si="13"/>
        <v>10485820</v>
      </c>
      <c r="AC83" s="108">
        <f t="shared" si="14"/>
        <v>2111080.1000000006</v>
      </c>
    </row>
    <row r="84" spans="1:29" x14ac:dyDescent="0.2">
      <c r="A84" s="124" t="s">
        <v>525</v>
      </c>
      <c r="B84" s="99">
        <f t="shared" si="8"/>
        <v>8.9693946752422834E-4</v>
      </c>
      <c r="C84" t="s">
        <v>689</v>
      </c>
      <c r="D84" s="99">
        <f t="shared" si="9"/>
        <v>3.3662754786905495E-2</v>
      </c>
      <c r="E84" s="123">
        <v>47276000</v>
      </c>
      <c r="F84" s="219">
        <v>25395</v>
      </c>
      <c r="G84" s="93">
        <v>25600</v>
      </c>
      <c r="H84" s="93">
        <v>1619</v>
      </c>
      <c r="I84" s="93">
        <v>3800</v>
      </c>
      <c r="J84" s="93">
        <v>1510</v>
      </c>
      <c r="K84" s="108">
        <f>(F84*138.66)*SUM(1,Macrogegevens!$C$4,0.5*Macrogegevens!$C$6,Macrogegevens!$C$8)</f>
        <v>3594161.0034900005</v>
      </c>
      <c r="L84" s="108">
        <f t="shared" si="15"/>
        <v>1565700.8</v>
      </c>
      <c r="M84" s="108">
        <v>4698651.3324750755</v>
      </c>
      <c r="N84" s="108">
        <v>3036241.1899970639</v>
      </c>
      <c r="O84" s="108">
        <v>0</v>
      </c>
      <c r="P84" s="108">
        <f t="shared" si="10"/>
        <v>7734892.5224721394</v>
      </c>
      <c r="Q84" s="108">
        <v>54267000</v>
      </c>
      <c r="R84" s="155">
        <v>1680.3399704720482</v>
      </c>
      <c r="S84" s="122">
        <v>0.1171</v>
      </c>
      <c r="T84" s="122">
        <v>0.1399</v>
      </c>
      <c r="U84" s="122">
        <v>0.11310000000000001</v>
      </c>
      <c r="V84" s="122" t="s">
        <v>525</v>
      </c>
      <c r="W84" s="108">
        <v>1916000000</v>
      </c>
      <c r="X84" s="108">
        <v>345800000</v>
      </c>
      <c r="Y84" s="108">
        <v>371000000</v>
      </c>
      <c r="Z84" s="108">
        <f t="shared" si="11"/>
        <v>2243636</v>
      </c>
      <c r="AA84" s="108">
        <f t="shared" si="12"/>
        <v>903375.2</v>
      </c>
      <c r="AB84" s="108">
        <f t="shared" si="13"/>
        <v>4712712</v>
      </c>
      <c r="AC84" s="108">
        <f t="shared" si="14"/>
        <v>1565700.8</v>
      </c>
    </row>
    <row r="85" spans="1:29" x14ac:dyDescent="0.2">
      <c r="A85" s="124" t="s">
        <v>256</v>
      </c>
      <c r="B85" s="99">
        <f t="shared" si="8"/>
        <v>3.7946707810349862E-3</v>
      </c>
      <c r="C85" t="s">
        <v>228</v>
      </c>
      <c r="D85" s="99">
        <f t="shared" si="9"/>
        <v>6.4486552567237163E-2</v>
      </c>
      <c r="E85" s="123">
        <v>62142086</v>
      </c>
      <c r="F85" s="219">
        <v>23981</v>
      </c>
      <c r="G85" s="93">
        <v>24800</v>
      </c>
      <c r="H85" s="93">
        <v>1636</v>
      </c>
      <c r="I85" s="93">
        <v>3385</v>
      </c>
      <c r="J85" s="93">
        <v>1425</v>
      </c>
      <c r="K85" s="108">
        <f>(F85*138.66)*SUM(1,Macrogegevens!$C$4,0.5*Macrogegevens!$C$6,Macrogegevens!$C$8)</f>
        <v>3394037.2130220006</v>
      </c>
      <c r="L85" s="108">
        <f t="shared" si="15"/>
        <v>0</v>
      </c>
      <c r="M85" s="108">
        <v>6003917.2392898891</v>
      </c>
      <c r="N85" s="108">
        <v>4415992.2286346974</v>
      </c>
      <c r="O85" s="108">
        <v>0</v>
      </c>
      <c r="P85" s="108">
        <f t="shared" si="10"/>
        <v>10419909.467924587</v>
      </c>
      <c r="Q85" s="108">
        <v>64164386</v>
      </c>
      <c r="R85" s="155">
        <v>3149.0843541316726</v>
      </c>
      <c r="S85" s="122">
        <v>0.217</v>
      </c>
      <c r="T85" s="122">
        <v>0.2099</v>
      </c>
      <c r="U85" s="122">
        <v>0.17080000000000001</v>
      </c>
      <c r="V85" s="122" t="s">
        <v>256</v>
      </c>
      <c r="W85" s="108">
        <v>1268800000</v>
      </c>
      <c r="X85" s="108">
        <v>324800000</v>
      </c>
      <c r="Y85" s="108">
        <v>360150000</v>
      </c>
      <c r="Z85" s="108">
        <f t="shared" si="11"/>
        <v>2753296</v>
      </c>
      <c r="AA85" s="108">
        <f t="shared" si="12"/>
        <v>1296891.4000000001</v>
      </c>
      <c r="AB85" s="108">
        <f t="shared" si="13"/>
        <v>3497212.5</v>
      </c>
      <c r="AC85" s="108">
        <f t="shared" si="14"/>
        <v>-552974.90000000014</v>
      </c>
    </row>
    <row r="86" spans="1:29" x14ac:dyDescent="0.2">
      <c r="A86" s="124" t="s">
        <v>444</v>
      </c>
      <c r="B86" s="99">
        <f t="shared" si="8"/>
        <v>2.1970965471797082E-3</v>
      </c>
      <c r="C86" t="s">
        <v>621</v>
      </c>
      <c r="D86" s="99">
        <f t="shared" si="9"/>
        <v>2.6146184268346272E-2</v>
      </c>
      <c r="E86" s="123">
        <v>446337000</v>
      </c>
      <c r="F86" s="219">
        <v>119046</v>
      </c>
      <c r="G86" s="93">
        <v>121400</v>
      </c>
      <c r="H86" s="93">
        <v>6827</v>
      </c>
      <c r="I86" s="93">
        <v>16265</v>
      </c>
      <c r="J86" s="93">
        <v>6470</v>
      </c>
      <c r="K86" s="108">
        <f>(F86*138.66)*SUM(1,Macrogegevens!$C$4,0.5*Macrogegevens!$C$6,Macrogegevens!$C$8)</f>
        <v>16848611.570052002</v>
      </c>
      <c r="L86" s="108">
        <f t="shared" si="15"/>
        <v>2108398.6500000022</v>
      </c>
      <c r="M86" s="108">
        <v>33779106.733568497</v>
      </c>
      <c r="N86" s="108">
        <v>15779812.35402357</v>
      </c>
      <c r="O86" s="108">
        <v>24702158.473538723</v>
      </c>
      <c r="P86" s="108">
        <f t="shared" si="10"/>
        <v>74261077.561130792</v>
      </c>
      <c r="Q86" s="108">
        <v>489160000</v>
      </c>
      <c r="R86" s="155">
        <v>404.63369345037137</v>
      </c>
      <c r="S86" s="122">
        <v>0.128</v>
      </c>
      <c r="T86" s="122">
        <v>0.23860000000000001</v>
      </c>
      <c r="U86" s="122">
        <v>0.1913</v>
      </c>
      <c r="V86" s="122" t="s">
        <v>444</v>
      </c>
      <c r="W86" s="108">
        <v>6907200000</v>
      </c>
      <c r="X86" s="108">
        <v>1962449999.9999998</v>
      </c>
      <c r="Y86" s="108">
        <v>1989049999.9999998</v>
      </c>
      <c r="Z86" s="108">
        <f t="shared" si="11"/>
        <v>8841216</v>
      </c>
      <c r="AA86" s="108">
        <f t="shared" si="12"/>
        <v>8487458.3499999978</v>
      </c>
      <c r="AB86" s="108">
        <f t="shared" si="13"/>
        <v>19437073</v>
      </c>
      <c r="AC86" s="108">
        <f t="shared" si="14"/>
        <v>2108398.6500000022</v>
      </c>
    </row>
    <row r="87" spans="1:29" x14ac:dyDescent="0.2">
      <c r="A87" s="124" t="s">
        <v>392</v>
      </c>
      <c r="B87" s="99">
        <f t="shared" si="8"/>
        <v>4.6296296296296294E-3</v>
      </c>
      <c r="C87" t="s">
        <v>689</v>
      </c>
      <c r="D87" s="99">
        <f t="shared" si="9"/>
        <v>2.8731604765241767E-2</v>
      </c>
      <c r="E87" s="123">
        <v>32693000</v>
      </c>
      <c r="F87" s="219">
        <v>19296</v>
      </c>
      <c r="G87" s="93">
        <v>20100</v>
      </c>
      <c r="H87" s="93">
        <v>1427</v>
      </c>
      <c r="I87" s="93">
        <v>3225</v>
      </c>
      <c r="J87" s="93">
        <v>1345</v>
      </c>
      <c r="K87" s="108">
        <f>(F87*138.66)*SUM(1,Macrogegevens!$C$4,0.5*Macrogegevens!$C$6,Macrogegevens!$C$8)</f>
        <v>2730967.9355520005</v>
      </c>
      <c r="L87" s="108">
        <f t="shared" si="15"/>
        <v>1328675.3999999999</v>
      </c>
      <c r="M87" s="108">
        <v>3417817.7547779283</v>
      </c>
      <c r="N87" s="108">
        <v>1783346.595749846</v>
      </c>
      <c r="O87" s="108">
        <v>0</v>
      </c>
      <c r="P87" s="108">
        <f t="shared" si="10"/>
        <v>5201164.3505277745</v>
      </c>
      <c r="Q87" s="108">
        <v>31940000</v>
      </c>
      <c r="R87" s="155">
        <v>-122.80337981442123</v>
      </c>
      <c r="S87" s="122">
        <v>9.1999999999999998E-2</v>
      </c>
      <c r="T87" s="122">
        <v>0.17610000000000001</v>
      </c>
      <c r="U87" s="122">
        <v>0.1409</v>
      </c>
      <c r="V87" s="122" t="s">
        <v>392</v>
      </c>
      <c r="W87" s="108">
        <v>1441200000</v>
      </c>
      <c r="X87" s="108">
        <v>161700000</v>
      </c>
      <c r="Y87" s="108">
        <v>184100000</v>
      </c>
      <c r="Z87" s="108">
        <f t="shared" si="11"/>
        <v>1325904</v>
      </c>
      <c r="AA87" s="108">
        <f t="shared" si="12"/>
        <v>544150.6</v>
      </c>
      <c r="AB87" s="108">
        <f t="shared" si="13"/>
        <v>3198730</v>
      </c>
      <c r="AC87" s="108">
        <f t="shared" si="14"/>
        <v>1328675.3999999999</v>
      </c>
    </row>
    <row r="88" spans="1:29" x14ac:dyDescent="0.2">
      <c r="A88" s="124" t="s">
        <v>526</v>
      </c>
      <c r="B88" s="99">
        <f t="shared" si="8"/>
        <v>-4.1574590808644519E-3</v>
      </c>
      <c r="C88" t="s">
        <v>689</v>
      </c>
      <c r="D88" s="99">
        <f t="shared" si="9"/>
        <v>5.2782111284451379E-2</v>
      </c>
      <c r="E88" s="123">
        <v>45705000</v>
      </c>
      <c r="F88" s="219">
        <v>26699</v>
      </c>
      <c r="G88" s="93">
        <v>25700</v>
      </c>
      <c r="H88" s="93">
        <v>1923</v>
      </c>
      <c r="I88" s="93">
        <v>4440</v>
      </c>
      <c r="J88" s="93">
        <v>1720</v>
      </c>
      <c r="K88" s="108">
        <f>(F88*138.66)*SUM(1,Macrogegevens!$C$4,0.5*Macrogegevens!$C$6,Macrogegevens!$C$8)</f>
        <v>3778716.4651380004</v>
      </c>
      <c r="L88" s="108">
        <f t="shared" si="15"/>
        <v>1619531.2500000002</v>
      </c>
      <c r="M88" s="108">
        <v>4098235.754972605</v>
      </c>
      <c r="N88" s="108">
        <v>3148281.2352564707</v>
      </c>
      <c r="O88" s="108">
        <v>0</v>
      </c>
      <c r="P88" s="108">
        <f t="shared" si="10"/>
        <v>7246516.9902290758</v>
      </c>
      <c r="Q88" s="108">
        <v>43712000</v>
      </c>
      <c r="R88" s="155">
        <v>191.68139596103944</v>
      </c>
      <c r="S88" s="122">
        <v>0.1086</v>
      </c>
      <c r="T88" s="122">
        <v>0.16769999999999999</v>
      </c>
      <c r="U88" s="122">
        <v>0.1351</v>
      </c>
      <c r="V88" s="122" t="s">
        <v>526</v>
      </c>
      <c r="W88" s="108">
        <v>2050400000</v>
      </c>
      <c r="X88" s="108">
        <v>285250000</v>
      </c>
      <c r="Y88" s="108">
        <v>327600000</v>
      </c>
      <c r="Z88" s="108">
        <f t="shared" si="11"/>
        <v>2226734.4</v>
      </c>
      <c r="AA88" s="108">
        <f t="shared" si="12"/>
        <v>920951.84999999986</v>
      </c>
      <c r="AB88" s="108">
        <f t="shared" si="13"/>
        <v>4767217.5</v>
      </c>
      <c r="AC88" s="108">
        <f t="shared" si="14"/>
        <v>1619531.2500000002</v>
      </c>
    </row>
    <row r="89" spans="1:29" x14ac:dyDescent="0.2">
      <c r="A89" s="124" t="s">
        <v>607</v>
      </c>
      <c r="B89" s="99">
        <f t="shared" si="8"/>
        <v>1.6283382585200228E-2</v>
      </c>
      <c r="C89" t="s">
        <v>228</v>
      </c>
      <c r="D89" s="99">
        <f t="shared" si="9"/>
        <v>3.3402203856749309E-2</v>
      </c>
      <c r="E89" s="123">
        <v>86192804</v>
      </c>
      <c r="F89" s="219">
        <v>40382</v>
      </c>
      <c r="G89" s="93">
        <v>46300</v>
      </c>
      <c r="H89" s="93">
        <v>2904</v>
      </c>
      <c r="I89" s="93">
        <v>6300</v>
      </c>
      <c r="J89" s="93">
        <v>2710</v>
      </c>
      <c r="K89" s="108">
        <f>(F89*138.66)*SUM(1,Macrogegevens!$C$4,0.5*Macrogegevens!$C$6,Macrogegevens!$C$8)</f>
        <v>5715275.0400840007</v>
      </c>
      <c r="L89" s="108">
        <f t="shared" si="15"/>
        <v>404550.30000000028</v>
      </c>
      <c r="M89" s="108">
        <v>12911378.910273207</v>
      </c>
      <c r="N89" s="108">
        <v>4313472.0183589123</v>
      </c>
      <c r="O89" s="108">
        <v>0</v>
      </c>
      <c r="P89" s="108">
        <f t="shared" si="10"/>
        <v>17224850.928632118</v>
      </c>
      <c r="Q89" s="108">
        <v>87333487</v>
      </c>
      <c r="R89" s="155">
        <v>534.01864930756278</v>
      </c>
      <c r="S89" s="122">
        <v>0.15679999999999999</v>
      </c>
      <c r="T89" s="122">
        <v>0.2064</v>
      </c>
      <c r="U89" s="122">
        <v>0.17150000000000001</v>
      </c>
      <c r="V89" s="122" t="s">
        <v>607</v>
      </c>
      <c r="W89" s="108">
        <v>2374400000</v>
      </c>
      <c r="X89" s="108">
        <v>651000000</v>
      </c>
      <c r="Y89" s="108">
        <v>744100000</v>
      </c>
      <c r="Z89" s="108">
        <f t="shared" si="11"/>
        <v>3723059.1999999997</v>
      </c>
      <c r="AA89" s="108">
        <f t="shared" si="12"/>
        <v>2619795.5</v>
      </c>
      <c r="AB89" s="108">
        <f t="shared" si="13"/>
        <v>6747405</v>
      </c>
      <c r="AC89" s="108">
        <f t="shared" si="14"/>
        <v>404550.30000000028</v>
      </c>
    </row>
    <row r="90" spans="1:29" x14ac:dyDescent="0.2">
      <c r="A90" s="124" t="s">
        <v>310</v>
      </c>
      <c r="B90" s="99">
        <f t="shared" si="8"/>
        <v>-1.2083234663703541E-3</v>
      </c>
      <c r="C90" t="s">
        <v>228</v>
      </c>
      <c r="D90" s="99">
        <f t="shared" si="9"/>
        <v>4.8989113530326596E-2</v>
      </c>
      <c r="E90" s="123">
        <v>39067000</v>
      </c>
      <c r="F90" s="219">
        <v>18299</v>
      </c>
      <c r="G90" s="93">
        <v>18100</v>
      </c>
      <c r="H90" s="93">
        <v>1286</v>
      </c>
      <c r="I90" s="93">
        <v>2865</v>
      </c>
      <c r="J90" s="93">
        <v>1160</v>
      </c>
      <c r="K90" s="108">
        <f>(F90*138.66)*SUM(1,Macrogegevens!$C$4,0.5*Macrogegevens!$C$6,Macrogegevens!$C$8)</f>
        <v>2589862.2643380002</v>
      </c>
      <c r="L90" s="108">
        <f t="shared" si="15"/>
        <v>973101.14999999991</v>
      </c>
      <c r="M90" s="108">
        <v>3355881.5476184823</v>
      </c>
      <c r="N90" s="108">
        <v>2219595.0181885669</v>
      </c>
      <c r="O90" s="108">
        <v>0</v>
      </c>
      <c r="P90" s="108">
        <f t="shared" si="10"/>
        <v>5575476.5658070492</v>
      </c>
      <c r="Q90" s="108">
        <v>38033000</v>
      </c>
      <c r="R90" s="155">
        <v>2676.6202167662022</v>
      </c>
      <c r="S90" s="122">
        <v>0.1179</v>
      </c>
      <c r="T90" s="122">
        <v>0.16320000000000001</v>
      </c>
      <c r="U90" s="122">
        <v>0.13350000000000001</v>
      </c>
      <c r="V90" s="122" t="s">
        <v>310</v>
      </c>
      <c r="W90" s="108">
        <v>1321600000</v>
      </c>
      <c r="X90" s="108">
        <v>248849999.99999997</v>
      </c>
      <c r="Y90" s="108">
        <v>277550000</v>
      </c>
      <c r="Z90" s="108">
        <f t="shared" si="11"/>
        <v>1558166.4000000001</v>
      </c>
      <c r="AA90" s="108">
        <f t="shared" si="12"/>
        <v>776652.45</v>
      </c>
      <c r="AB90" s="108">
        <f t="shared" si="13"/>
        <v>3307920</v>
      </c>
      <c r="AC90" s="108">
        <f t="shared" si="14"/>
        <v>973101.14999999991</v>
      </c>
    </row>
    <row r="91" spans="1:29" x14ac:dyDescent="0.2">
      <c r="A91" s="124" t="s">
        <v>311</v>
      </c>
      <c r="B91" s="99">
        <f t="shared" si="8"/>
        <v>-3.2235751667253959E-3</v>
      </c>
      <c r="C91" t="s">
        <v>228</v>
      </c>
      <c r="D91" s="99">
        <f t="shared" si="9"/>
        <v>2.5295663600525625E-2</v>
      </c>
      <c r="E91" s="123">
        <v>52290000</v>
      </c>
      <c r="F91" s="219">
        <v>25541</v>
      </c>
      <c r="G91" s="93">
        <v>24800</v>
      </c>
      <c r="H91" s="93">
        <v>1522</v>
      </c>
      <c r="I91" s="93">
        <v>3675</v>
      </c>
      <c r="J91" s="93">
        <v>1445</v>
      </c>
      <c r="K91" s="108">
        <f>(F91*138.66)*SUM(1,Macrogegevens!$C$4,0.5*Macrogegevens!$C$6,Macrogegevens!$C$8)</f>
        <v>3614824.4217420006</v>
      </c>
      <c r="L91" s="108">
        <f t="shared" si="15"/>
        <v>1749383.4000000001</v>
      </c>
      <c r="M91" s="108">
        <v>6436035.6787023526</v>
      </c>
      <c r="N91" s="108">
        <v>2672686.544690121</v>
      </c>
      <c r="O91" s="108">
        <v>0</v>
      </c>
      <c r="P91" s="108">
        <f t="shared" si="10"/>
        <v>9108722.2233924735</v>
      </c>
      <c r="Q91" s="108">
        <v>53863000</v>
      </c>
      <c r="R91" s="155">
        <v>3328.3319657718907</v>
      </c>
      <c r="S91" s="122">
        <v>9.6100000000000005E-2</v>
      </c>
      <c r="T91" s="122">
        <v>0.1678</v>
      </c>
      <c r="U91" s="122">
        <v>0.1338</v>
      </c>
      <c r="V91" s="122" t="s">
        <v>311</v>
      </c>
      <c r="W91" s="108">
        <v>1768000000</v>
      </c>
      <c r="X91" s="108">
        <v>494899999.99999994</v>
      </c>
      <c r="Y91" s="108">
        <v>505049999.99999994</v>
      </c>
      <c r="Z91" s="108">
        <f t="shared" si="11"/>
        <v>1699048</v>
      </c>
      <c r="AA91" s="108">
        <f t="shared" si="12"/>
        <v>1506199.0999999999</v>
      </c>
      <c r="AB91" s="108">
        <f t="shared" si="13"/>
        <v>4954630.5</v>
      </c>
      <c r="AC91" s="108">
        <f t="shared" si="14"/>
        <v>1749383.4000000001</v>
      </c>
    </row>
    <row r="92" spans="1:29" x14ac:dyDescent="0.2">
      <c r="A92" s="124" t="s">
        <v>577</v>
      </c>
      <c r="B92" s="99">
        <f t="shared" si="8"/>
        <v>-1.2824924145265727E-3</v>
      </c>
      <c r="C92" t="s">
        <v>228</v>
      </c>
      <c r="D92" s="99">
        <f t="shared" si="9"/>
        <v>3.8868445262189515E-2</v>
      </c>
      <c r="E92" s="123">
        <v>68843958</v>
      </c>
      <c r="F92" s="219">
        <v>31969</v>
      </c>
      <c r="G92" s="93">
        <v>31600</v>
      </c>
      <c r="H92" s="93">
        <v>2174</v>
      </c>
      <c r="I92" s="93">
        <v>4910</v>
      </c>
      <c r="J92" s="93">
        <v>2005</v>
      </c>
      <c r="K92" s="108">
        <f>(F92*138.66)*SUM(1,Macrogegevens!$C$4,0.5*Macrogegevens!$C$6,Macrogegevens!$C$8)</f>
        <v>4524580.9458780009</v>
      </c>
      <c r="L92" s="108">
        <f t="shared" si="15"/>
        <v>1046196.4750000001</v>
      </c>
      <c r="M92" s="108">
        <v>6618471.5168301715</v>
      </c>
      <c r="N92" s="108">
        <v>5549722.009694241</v>
      </c>
      <c r="O92" s="108">
        <v>0</v>
      </c>
      <c r="P92" s="108">
        <f t="shared" si="10"/>
        <v>12168193.526524413</v>
      </c>
      <c r="Q92" s="108">
        <v>68830851</v>
      </c>
      <c r="R92" s="155">
        <v>2120.8103587138344</v>
      </c>
      <c r="S92" s="122">
        <v>0.13461000000000001</v>
      </c>
      <c r="T92" s="122">
        <v>0.19005</v>
      </c>
      <c r="U92" s="122">
        <v>0.15193000000000001</v>
      </c>
      <c r="V92" s="122" t="s">
        <v>577</v>
      </c>
      <c r="W92" s="108">
        <v>2197600000</v>
      </c>
      <c r="X92" s="108">
        <v>366100000</v>
      </c>
      <c r="Y92" s="108">
        <v>410550000</v>
      </c>
      <c r="Z92" s="108">
        <f t="shared" si="11"/>
        <v>2958189.36</v>
      </c>
      <c r="AA92" s="108">
        <f t="shared" si="12"/>
        <v>1319521.665</v>
      </c>
      <c r="AB92" s="108">
        <f t="shared" si="13"/>
        <v>5323907.5</v>
      </c>
      <c r="AC92" s="108">
        <f t="shared" si="14"/>
        <v>1046196.4750000001</v>
      </c>
    </row>
    <row r="93" spans="1:29" x14ac:dyDescent="0.2">
      <c r="A93" s="124" t="s">
        <v>393</v>
      </c>
      <c r="B93" s="99">
        <f t="shared" si="8"/>
        <v>6.5476326907943491E-3</v>
      </c>
      <c r="C93" t="s">
        <v>689</v>
      </c>
      <c r="D93" s="99">
        <f t="shared" si="9"/>
        <v>2.1920668058455117E-2</v>
      </c>
      <c r="E93" s="123">
        <v>50701000</v>
      </c>
      <c r="F93" s="219">
        <v>29086</v>
      </c>
      <c r="G93" s="93">
        <v>30800</v>
      </c>
      <c r="H93" s="93">
        <v>2395</v>
      </c>
      <c r="I93" s="93">
        <v>6140</v>
      </c>
      <c r="J93" s="93">
        <v>2290</v>
      </c>
      <c r="K93" s="108">
        <f>(F93*138.66)*SUM(1,Macrogegevens!$C$4,0.5*Macrogegevens!$C$6,Macrogegevens!$C$8)</f>
        <v>4116549.2005320005</v>
      </c>
      <c r="L93" s="108">
        <f t="shared" si="15"/>
        <v>2092778.0499999998</v>
      </c>
      <c r="M93" s="108">
        <v>2962768.8522885796</v>
      </c>
      <c r="N93" s="108">
        <v>2496820.4144775225</v>
      </c>
      <c r="O93" s="108">
        <v>0</v>
      </c>
      <c r="P93" s="108">
        <f t="shared" si="10"/>
        <v>5459589.2667661021</v>
      </c>
      <c r="Q93" s="108">
        <v>50979000</v>
      </c>
      <c r="R93" s="155">
        <v>1452.6415491475479</v>
      </c>
      <c r="S93" s="122">
        <v>9.8799999999999999E-2</v>
      </c>
      <c r="T93" s="122">
        <v>0.15690000000000001</v>
      </c>
      <c r="U93" s="122">
        <v>0.12790000000000001</v>
      </c>
      <c r="V93" s="122" t="s">
        <v>393</v>
      </c>
      <c r="W93" s="108">
        <v>2258800000</v>
      </c>
      <c r="X93" s="108">
        <v>379050000</v>
      </c>
      <c r="Y93" s="108">
        <v>386400000</v>
      </c>
      <c r="Z93" s="108">
        <f t="shared" si="11"/>
        <v>2231694.4</v>
      </c>
      <c r="AA93" s="108">
        <f t="shared" si="12"/>
        <v>1088935.0500000003</v>
      </c>
      <c r="AB93" s="108">
        <f t="shared" si="13"/>
        <v>5413407.5</v>
      </c>
      <c r="AC93" s="108">
        <f t="shared" si="14"/>
        <v>2092778.0499999998</v>
      </c>
    </row>
    <row r="94" spans="1:29" x14ac:dyDescent="0.2">
      <c r="A94" s="124" t="s">
        <v>312</v>
      </c>
      <c r="B94" s="99">
        <f t="shared" si="8"/>
        <v>1.9362472659471476E-3</v>
      </c>
      <c r="C94" t="s">
        <v>228</v>
      </c>
      <c r="D94" s="99">
        <f t="shared" si="9"/>
        <v>5.1056338028169015E-2</v>
      </c>
      <c r="E94" s="123">
        <v>249655000</v>
      </c>
      <c r="F94" s="219">
        <v>111556</v>
      </c>
      <c r="G94" s="93">
        <v>113500</v>
      </c>
      <c r="H94" s="93">
        <v>8236</v>
      </c>
      <c r="I94" s="93">
        <v>17895</v>
      </c>
      <c r="J94" s="93">
        <v>7395</v>
      </c>
      <c r="K94" s="108">
        <f>(F94*138.66)*SUM(1,Macrogegevens!$C$4,0.5*Macrogegevens!$C$6,Macrogegevens!$C$8)</f>
        <v>15788549.907672001</v>
      </c>
      <c r="L94" s="108">
        <f t="shared" si="15"/>
        <v>5364173.4000000022</v>
      </c>
      <c r="M94" s="108">
        <v>28535612.805629995</v>
      </c>
      <c r="N94" s="108">
        <v>15218335.947963761</v>
      </c>
      <c r="O94" s="108">
        <v>15943110.765102651</v>
      </c>
      <c r="P94" s="108">
        <f t="shared" si="10"/>
        <v>59697059.518696412</v>
      </c>
      <c r="Q94" s="108">
        <v>238579000</v>
      </c>
      <c r="R94" s="155">
        <v>2663.4711756189909</v>
      </c>
      <c r="S94" s="122">
        <v>0.11849999999999999</v>
      </c>
      <c r="T94" s="122">
        <v>0.18859999999999999</v>
      </c>
      <c r="U94" s="122">
        <v>0.1507</v>
      </c>
      <c r="V94" s="122" t="s">
        <v>312</v>
      </c>
      <c r="W94" s="108">
        <v>8130000000</v>
      </c>
      <c r="X94" s="108">
        <v>2181200000</v>
      </c>
      <c r="Y94" s="108">
        <v>2314200000</v>
      </c>
      <c r="Z94" s="108">
        <f t="shared" si="11"/>
        <v>9634049.9999999981</v>
      </c>
      <c r="AA94" s="108">
        <f t="shared" si="12"/>
        <v>7601242.5999999996</v>
      </c>
      <c r="AB94" s="108">
        <f t="shared" si="13"/>
        <v>22599466</v>
      </c>
      <c r="AC94" s="108">
        <f t="shared" si="14"/>
        <v>5364173.4000000022</v>
      </c>
    </row>
    <row r="95" spans="1:29" x14ac:dyDescent="0.2">
      <c r="A95" s="124" t="s">
        <v>360</v>
      </c>
      <c r="B95" s="99">
        <f t="shared" si="8"/>
        <v>-6.3964270845161047E-3</v>
      </c>
      <c r="C95" t="s">
        <v>689</v>
      </c>
      <c r="D95" s="99">
        <f t="shared" si="9"/>
        <v>5.0984936268829661E-2</v>
      </c>
      <c r="E95" s="123">
        <v>24251973</v>
      </c>
      <c r="F95" s="219">
        <v>8807</v>
      </c>
      <c r="G95" s="93">
        <v>8300</v>
      </c>
      <c r="H95" s="93">
        <v>863</v>
      </c>
      <c r="I95" s="93">
        <v>1980</v>
      </c>
      <c r="J95" s="93">
        <v>775</v>
      </c>
      <c r="K95" s="108">
        <f>(F95*138.66)*SUM(1,Macrogegevens!$C$4,0.5*Macrogegevens!$C$6,Macrogegevens!$C$8)</f>
        <v>1246457.017434</v>
      </c>
      <c r="L95" s="108">
        <f t="shared" si="15"/>
        <v>618498.70000000007</v>
      </c>
      <c r="M95" s="108">
        <v>1706989.6098947437</v>
      </c>
      <c r="N95" s="108">
        <v>814297.6953747666</v>
      </c>
      <c r="O95" s="108">
        <v>0</v>
      </c>
      <c r="P95" s="108">
        <f t="shared" si="10"/>
        <v>2521287.3052695105</v>
      </c>
      <c r="Q95" s="108">
        <v>25546285</v>
      </c>
      <c r="R95" s="155">
        <v>1048.8853683376713</v>
      </c>
      <c r="S95" s="122">
        <v>0.12520000000000001</v>
      </c>
      <c r="T95" s="122">
        <v>0.1381</v>
      </c>
      <c r="U95" s="122">
        <v>9.5200000000000007E-2</v>
      </c>
      <c r="V95" s="122" t="s">
        <v>360</v>
      </c>
      <c r="W95" s="108">
        <v>839600000</v>
      </c>
      <c r="X95" s="108">
        <v>126699999.99999999</v>
      </c>
      <c r="Y95" s="108">
        <v>137200000</v>
      </c>
      <c r="Z95" s="108">
        <f t="shared" si="11"/>
        <v>1051179.2</v>
      </c>
      <c r="AA95" s="108">
        <f t="shared" si="12"/>
        <v>305587.09999999998</v>
      </c>
      <c r="AB95" s="108">
        <f t="shared" si="13"/>
        <v>1975265</v>
      </c>
      <c r="AC95" s="108">
        <f t="shared" si="14"/>
        <v>618498.70000000007</v>
      </c>
    </row>
    <row r="96" spans="1:29" x14ac:dyDescent="0.2">
      <c r="A96" s="124" t="s">
        <v>234</v>
      </c>
      <c r="B96" s="99">
        <f t="shared" si="8"/>
        <v>8.5914282897423975E-4</v>
      </c>
      <c r="C96" t="s">
        <v>228</v>
      </c>
      <c r="D96" s="99">
        <f t="shared" si="9"/>
        <v>3.4774436090225562E-2</v>
      </c>
      <c r="E96" s="123">
        <v>47800503</v>
      </c>
      <c r="F96" s="219">
        <v>15778</v>
      </c>
      <c r="G96" s="93">
        <v>15900</v>
      </c>
      <c r="H96" s="93">
        <v>1064</v>
      </c>
      <c r="I96" s="93">
        <v>2140</v>
      </c>
      <c r="J96" s="93">
        <v>990</v>
      </c>
      <c r="K96" s="108">
        <f>(F96*138.66)*SUM(1,Macrogegevens!$C$4,0.5*Macrogegevens!$C$6,Macrogegevens!$C$8)</f>
        <v>2233064.4738360005</v>
      </c>
      <c r="L96" s="108">
        <f t="shared" si="15"/>
        <v>0</v>
      </c>
      <c r="M96" s="108">
        <v>4840283.6775648855</v>
      </c>
      <c r="N96" s="108">
        <v>3897021.2839993117</v>
      </c>
      <c r="O96" s="108">
        <v>0</v>
      </c>
      <c r="P96" s="108">
        <f t="shared" si="10"/>
        <v>8737304.9615641981</v>
      </c>
      <c r="Q96" s="108">
        <v>49657965</v>
      </c>
      <c r="R96" s="155">
        <v>1356.5079751613296</v>
      </c>
      <c r="S96" s="122">
        <v>0.20949999999999999</v>
      </c>
      <c r="T96" s="122">
        <v>0.35749999999999998</v>
      </c>
      <c r="U96" s="122">
        <v>0.2863</v>
      </c>
      <c r="V96" s="122" t="s">
        <v>234</v>
      </c>
      <c r="W96" s="108">
        <v>827600000</v>
      </c>
      <c r="X96" s="108">
        <v>958649999.99999988</v>
      </c>
      <c r="Y96" s="108">
        <v>983149999.99999988</v>
      </c>
      <c r="Z96" s="108">
        <f t="shared" si="11"/>
        <v>1733822</v>
      </c>
      <c r="AA96" s="108">
        <f t="shared" si="12"/>
        <v>6241932.1999999993</v>
      </c>
      <c r="AB96" s="108">
        <f t="shared" si="13"/>
        <v>4957226</v>
      </c>
      <c r="AC96" s="108">
        <f t="shared" si="14"/>
        <v>-3018528.1999999993</v>
      </c>
    </row>
    <row r="97" spans="1:29" x14ac:dyDescent="0.2">
      <c r="A97" s="124" t="s">
        <v>527</v>
      </c>
      <c r="B97" s="99">
        <f t="shared" si="8"/>
        <v>2.1439732548421092E-3</v>
      </c>
      <c r="C97" t="s">
        <v>689</v>
      </c>
      <c r="D97" s="99">
        <f t="shared" si="9"/>
        <v>4.50065703022339E-2</v>
      </c>
      <c r="E97" s="123">
        <v>37329894</v>
      </c>
      <c r="F97" s="219">
        <v>18346</v>
      </c>
      <c r="G97" s="93">
        <v>18700</v>
      </c>
      <c r="H97" s="93">
        <v>1522</v>
      </c>
      <c r="I97" s="93">
        <v>3515</v>
      </c>
      <c r="J97" s="93">
        <v>1385</v>
      </c>
      <c r="K97" s="108">
        <f>(F97*138.66)*SUM(1,Macrogegevens!$C$4,0.5*Macrogegevens!$C$6,Macrogegevens!$C$8)</f>
        <v>2596514.1866520001</v>
      </c>
      <c r="L97" s="108">
        <f t="shared" si="15"/>
        <v>2060731.3</v>
      </c>
      <c r="M97" s="108">
        <v>3041683.1420959439</v>
      </c>
      <c r="N97" s="108">
        <v>2182126.7346662064</v>
      </c>
      <c r="O97" s="108">
        <v>0</v>
      </c>
      <c r="P97" s="108">
        <f t="shared" si="10"/>
        <v>5223809.8767621499</v>
      </c>
      <c r="Q97" s="108">
        <v>39113782</v>
      </c>
      <c r="R97" s="155">
        <v>-133.77760643278074</v>
      </c>
      <c r="S97" s="122">
        <v>9.0700000000000003E-2</v>
      </c>
      <c r="T97" s="122">
        <v>0.128</v>
      </c>
      <c r="U97" s="122">
        <v>0.1021</v>
      </c>
      <c r="V97" s="122" t="s">
        <v>527</v>
      </c>
      <c r="W97" s="108">
        <v>1788400000</v>
      </c>
      <c r="X97" s="108">
        <v>345800000</v>
      </c>
      <c r="Y97" s="108">
        <v>396900000</v>
      </c>
      <c r="Z97" s="108">
        <f t="shared" si="11"/>
        <v>1622078.8</v>
      </c>
      <c r="AA97" s="108">
        <f t="shared" si="12"/>
        <v>847858.90000000014</v>
      </c>
      <c r="AB97" s="108">
        <f t="shared" si="13"/>
        <v>4530669</v>
      </c>
      <c r="AC97" s="108">
        <f t="shared" si="14"/>
        <v>2060731.3</v>
      </c>
    </row>
    <row r="98" spans="1:29" x14ac:dyDescent="0.2">
      <c r="A98" s="124" t="s">
        <v>578</v>
      </c>
      <c r="B98" s="99">
        <f t="shared" si="8"/>
        <v>-6.9736496619982819E-3</v>
      </c>
      <c r="C98" t="s">
        <v>689</v>
      </c>
      <c r="D98" s="99">
        <f t="shared" si="9"/>
        <v>6.4698867024448423E-2</v>
      </c>
      <c r="E98" s="123">
        <v>47631214</v>
      </c>
      <c r="F98" s="219">
        <v>24967</v>
      </c>
      <c r="G98" s="93">
        <v>23400</v>
      </c>
      <c r="H98" s="93">
        <v>1677</v>
      </c>
      <c r="I98" s="93">
        <v>3480</v>
      </c>
      <c r="J98" s="93">
        <v>1460</v>
      </c>
      <c r="K98" s="108">
        <f>(F98*138.66)*SUM(1,Macrogegevens!$C$4,0.5*Macrogegevens!$C$6,Macrogegevens!$C$8)</f>
        <v>3533586.0513540003</v>
      </c>
      <c r="L98" s="108">
        <f t="shared" si="15"/>
        <v>992027.99999999953</v>
      </c>
      <c r="M98" s="108">
        <v>5828923.0779613247</v>
      </c>
      <c r="N98" s="108">
        <v>3596647.7809252571</v>
      </c>
      <c r="O98" s="108">
        <v>0</v>
      </c>
      <c r="P98" s="108">
        <f t="shared" si="10"/>
        <v>9425570.8588865809</v>
      </c>
      <c r="Q98" s="108">
        <v>50114923</v>
      </c>
      <c r="R98" s="161">
        <v>982.24852071005921</v>
      </c>
      <c r="S98" s="122">
        <v>0.13800000000000001</v>
      </c>
      <c r="T98" s="122">
        <v>0.158</v>
      </c>
      <c r="U98" s="122">
        <v>0.13</v>
      </c>
      <c r="V98" s="122" t="s">
        <v>578</v>
      </c>
      <c r="W98" s="108">
        <v>1964000000</v>
      </c>
      <c r="X98" s="108">
        <v>249199999.99999997</v>
      </c>
      <c r="Y98" s="108">
        <v>274400000</v>
      </c>
      <c r="Z98" s="108">
        <f t="shared" si="11"/>
        <v>2710320.0000000005</v>
      </c>
      <c r="AA98" s="108">
        <f t="shared" si="12"/>
        <v>750456</v>
      </c>
      <c r="AB98" s="108">
        <f t="shared" si="13"/>
        <v>4452804</v>
      </c>
      <c r="AC98" s="108">
        <f t="shared" si="14"/>
        <v>992027.99999999953</v>
      </c>
    </row>
    <row r="99" spans="1:29" x14ac:dyDescent="0.2">
      <c r="A99" s="124" t="s">
        <v>528</v>
      </c>
      <c r="B99" s="99">
        <f t="shared" si="8"/>
        <v>4.7717038855587509E-3</v>
      </c>
      <c r="C99" t="s">
        <v>621</v>
      </c>
      <c r="D99" s="99">
        <f t="shared" si="9"/>
        <v>2.6459395418970345E-2</v>
      </c>
      <c r="E99" s="123">
        <v>812065000</v>
      </c>
      <c r="F99" s="219">
        <v>223214</v>
      </c>
      <c r="G99" s="93">
        <v>232800</v>
      </c>
      <c r="H99" s="93">
        <v>13927</v>
      </c>
      <c r="I99" s="93">
        <v>34040</v>
      </c>
      <c r="J99" s="93">
        <v>13190</v>
      </c>
      <c r="K99" s="108">
        <f>(F99*138.66)*SUM(1,Macrogegevens!$C$4,0.5*Macrogegevens!$C$6,Macrogegevens!$C$8)</f>
        <v>31591535.902068004</v>
      </c>
      <c r="L99" s="108">
        <f t="shared" si="15"/>
        <v>15822802.439999998</v>
      </c>
      <c r="M99" s="108">
        <v>48133561.140637264</v>
      </c>
      <c r="N99" s="108">
        <v>28297798.422687508</v>
      </c>
      <c r="O99" s="108">
        <v>35205561.997825041</v>
      </c>
      <c r="P99" s="108">
        <f t="shared" si="10"/>
        <v>111636921.56114982</v>
      </c>
      <c r="Q99" s="108">
        <v>845738000</v>
      </c>
      <c r="R99" s="155">
        <v>1278.0612602837111</v>
      </c>
      <c r="S99" s="122">
        <v>9.0529999999999999E-2</v>
      </c>
      <c r="T99" s="122">
        <v>0.19070000000000001</v>
      </c>
      <c r="U99" s="122">
        <v>0.152</v>
      </c>
      <c r="V99" s="122" t="s">
        <v>528</v>
      </c>
      <c r="W99" s="108">
        <v>16865200000</v>
      </c>
      <c r="X99" s="108">
        <v>5631500000</v>
      </c>
      <c r="Y99" s="108">
        <v>5781650000</v>
      </c>
      <c r="Z99" s="108">
        <f t="shared" si="11"/>
        <v>15268065.559999999</v>
      </c>
      <c r="AA99" s="108">
        <f t="shared" si="12"/>
        <v>19527378.5</v>
      </c>
      <c r="AB99" s="108">
        <f t="shared" si="13"/>
        <v>50618246.5</v>
      </c>
      <c r="AC99" s="108">
        <f t="shared" si="14"/>
        <v>15822802.439999998</v>
      </c>
    </row>
    <row r="100" spans="1:29" x14ac:dyDescent="0.2">
      <c r="A100" s="124" t="s">
        <v>313</v>
      </c>
      <c r="B100" s="99">
        <f t="shared" si="8"/>
        <v>-8.9466847643650486E-3</v>
      </c>
      <c r="C100" t="s">
        <v>689</v>
      </c>
      <c r="D100" s="99">
        <f t="shared" si="9"/>
        <v>7.6388888888888895E-2</v>
      </c>
      <c r="E100" s="123">
        <v>43841000</v>
      </c>
      <c r="F100" s="219">
        <v>22839</v>
      </c>
      <c r="G100" s="93">
        <v>21000</v>
      </c>
      <c r="H100" s="93">
        <v>1440</v>
      </c>
      <c r="I100" s="93">
        <v>3160</v>
      </c>
      <c r="J100" s="93">
        <v>1220</v>
      </c>
      <c r="K100" s="108">
        <f>(F100*138.66)*SUM(1,Macrogegevens!$C$4,0.5*Macrogegevens!$C$6,Macrogegevens!$C$8)</f>
        <v>3232409.6538180001</v>
      </c>
      <c r="L100" s="108">
        <f t="shared" si="15"/>
        <v>1658017.5</v>
      </c>
      <c r="M100" s="108">
        <v>5023634.2599296309</v>
      </c>
      <c r="N100" s="108">
        <v>3408680.1978294305</v>
      </c>
      <c r="O100" s="108">
        <v>0</v>
      </c>
      <c r="P100" s="108">
        <f t="shared" si="10"/>
        <v>8432314.4577590618</v>
      </c>
      <c r="Q100" s="108">
        <v>45758000</v>
      </c>
      <c r="R100" s="155">
        <v>1668.7860750360751</v>
      </c>
      <c r="S100" s="122">
        <v>9.7000000000000003E-2</v>
      </c>
      <c r="T100" s="122">
        <v>0.157</v>
      </c>
      <c r="U100" s="122">
        <v>0.126</v>
      </c>
      <c r="V100" s="122" t="s">
        <v>313</v>
      </c>
      <c r="W100" s="108">
        <v>1699200000</v>
      </c>
      <c r="X100" s="108">
        <v>338800000</v>
      </c>
      <c r="Y100" s="108">
        <v>358750000</v>
      </c>
      <c r="Z100" s="108">
        <f t="shared" si="11"/>
        <v>1648224</v>
      </c>
      <c r="AA100" s="108">
        <f t="shared" si="12"/>
        <v>983941</v>
      </c>
      <c r="AB100" s="108">
        <f t="shared" si="13"/>
        <v>4290182.5</v>
      </c>
      <c r="AC100" s="108">
        <f t="shared" si="14"/>
        <v>1658017.5</v>
      </c>
    </row>
    <row r="101" spans="1:29" x14ac:dyDescent="0.2">
      <c r="A101" s="124" t="s">
        <v>220</v>
      </c>
      <c r="B101" s="99">
        <f t="shared" si="8"/>
        <v>-8.0206020193772799E-4</v>
      </c>
      <c r="C101" t="s">
        <v>621</v>
      </c>
      <c r="D101" s="99">
        <f t="shared" si="9"/>
        <v>2.7265437048917401E-2</v>
      </c>
      <c r="E101" s="123">
        <v>369228000</v>
      </c>
      <c r="F101" s="219">
        <v>107778</v>
      </c>
      <c r="G101" s="93">
        <v>107000</v>
      </c>
      <c r="H101" s="93">
        <v>6235</v>
      </c>
      <c r="I101" s="93">
        <v>14370</v>
      </c>
      <c r="J101" s="93">
        <v>5895</v>
      </c>
      <c r="K101" s="108">
        <f>(F101*138.66)*SUM(1,Macrogegevens!$C$4,0.5*Macrogegevens!$C$6,Macrogegevens!$C$8)</f>
        <v>15253848.577836003</v>
      </c>
      <c r="L101" s="108">
        <f t="shared" si="15"/>
        <v>0</v>
      </c>
      <c r="M101" s="108">
        <v>31423388.933230989</v>
      </c>
      <c r="N101" s="108">
        <v>19474332.327421259</v>
      </c>
      <c r="O101" s="108">
        <v>15842464.574721627</v>
      </c>
      <c r="P101" s="108">
        <f t="shared" si="10"/>
        <v>66740185.835373871</v>
      </c>
      <c r="Q101" s="108">
        <v>405115000</v>
      </c>
      <c r="R101" s="155">
        <v>2348.6679270442319</v>
      </c>
      <c r="S101" s="122">
        <v>0.19989999999999999</v>
      </c>
      <c r="T101" s="122">
        <v>0.27389999999999998</v>
      </c>
      <c r="U101" s="122">
        <v>0.21560000000000001</v>
      </c>
      <c r="V101" s="122" t="s">
        <v>220</v>
      </c>
      <c r="W101" s="108">
        <v>6001600000</v>
      </c>
      <c r="X101" s="108">
        <v>1530550000</v>
      </c>
      <c r="Y101" s="108">
        <v>1630300000</v>
      </c>
      <c r="Z101" s="108">
        <f t="shared" si="11"/>
        <v>11997198.4</v>
      </c>
      <c r="AA101" s="108">
        <f t="shared" si="12"/>
        <v>7707103.25</v>
      </c>
      <c r="AB101" s="108">
        <f t="shared" si="13"/>
        <v>16400785.5</v>
      </c>
      <c r="AC101" s="108">
        <f t="shared" si="14"/>
        <v>-3303516.1500000004</v>
      </c>
    </row>
    <row r="102" spans="1:29" x14ac:dyDescent="0.2">
      <c r="A102" s="124" t="s">
        <v>394</v>
      </c>
      <c r="B102" s="99">
        <f t="shared" si="8"/>
        <v>1.6066810801644835E-2</v>
      </c>
      <c r="C102" t="s">
        <v>228</v>
      </c>
      <c r="D102" s="99">
        <f t="shared" si="9"/>
        <v>-7.9491255961844202E-4</v>
      </c>
      <c r="E102" s="123">
        <v>41638000</v>
      </c>
      <c r="F102" s="219">
        <v>18347</v>
      </c>
      <c r="G102" s="93">
        <v>21000</v>
      </c>
      <c r="H102" s="93">
        <v>1258</v>
      </c>
      <c r="I102" s="93">
        <v>3200</v>
      </c>
      <c r="J102" s="93">
        <v>1260</v>
      </c>
      <c r="K102" s="108">
        <f>(F102*138.66)*SUM(1,Macrogegevens!$C$4,0.5*Macrogegevens!$C$6,Macrogegevens!$C$8)</f>
        <v>2596655.7169140005</v>
      </c>
      <c r="L102" s="108">
        <f t="shared" si="15"/>
        <v>632339.30000000005</v>
      </c>
      <c r="M102" s="108">
        <v>4347149.3089349326</v>
      </c>
      <c r="N102" s="108">
        <v>2519363.1915071486</v>
      </c>
      <c r="O102" s="108">
        <v>0</v>
      </c>
      <c r="P102" s="108">
        <f t="shared" si="10"/>
        <v>6866512.5004420811</v>
      </c>
      <c r="Q102" s="108">
        <v>46569000</v>
      </c>
      <c r="R102" s="155">
        <v>1254.9991736902991</v>
      </c>
      <c r="S102" s="122">
        <v>0.1084</v>
      </c>
      <c r="T102" s="122">
        <v>0.23769999999999999</v>
      </c>
      <c r="U102" s="122">
        <v>0.18440000000000001</v>
      </c>
      <c r="V102" s="122" t="s">
        <v>394</v>
      </c>
      <c r="W102" s="108">
        <v>1176800000</v>
      </c>
      <c r="X102" s="108">
        <v>308700000</v>
      </c>
      <c r="Y102" s="108">
        <v>319900000</v>
      </c>
      <c r="Z102" s="108">
        <f t="shared" si="11"/>
        <v>1275651.2</v>
      </c>
      <c r="AA102" s="108">
        <f t="shared" si="12"/>
        <v>1323675.5</v>
      </c>
      <c r="AB102" s="108">
        <f t="shared" si="13"/>
        <v>3231666</v>
      </c>
      <c r="AC102" s="108">
        <f t="shared" si="14"/>
        <v>632339.30000000005</v>
      </c>
    </row>
    <row r="103" spans="1:29" x14ac:dyDescent="0.2">
      <c r="A103" s="124" t="s">
        <v>279</v>
      </c>
      <c r="B103" s="99">
        <f t="shared" si="8"/>
        <v>5.6244687865455584E-3</v>
      </c>
      <c r="C103" t="s">
        <v>621</v>
      </c>
      <c r="D103" s="99">
        <f t="shared" si="9"/>
        <v>4.4423214712204444E-2</v>
      </c>
      <c r="E103" s="123">
        <v>624208000</v>
      </c>
      <c r="F103" s="219">
        <v>158573</v>
      </c>
      <c r="G103" s="93">
        <v>166600</v>
      </c>
      <c r="H103" s="93">
        <v>8374</v>
      </c>
      <c r="I103" s="93">
        <v>20075</v>
      </c>
      <c r="J103" s="93">
        <v>7630</v>
      </c>
      <c r="K103" s="108">
        <f>(F103*138.66)*SUM(1,Macrogegevens!$C$4,0.5*Macrogegevens!$C$6,Macrogegevens!$C$8)</f>
        <v>22442878.236126002</v>
      </c>
      <c r="L103" s="108">
        <f t="shared" si="15"/>
        <v>0</v>
      </c>
      <c r="M103" s="108">
        <v>46960302.132260539</v>
      </c>
      <c r="N103" s="108">
        <v>24921971.801471934</v>
      </c>
      <c r="O103" s="108">
        <v>34729962.074886039</v>
      </c>
      <c r="P103" s="108">
        <f t="shared" si="10"/>
        <v>106612236.00861852</v>
      </c>
      <c r="Q103" s="108">
        <v>616711000</v>
      </c>
      <c r="R103" s="155">
        <v>2877.1426024501438</v>
      </c>
      <c r="S103" s="122">
        <v>0.16539999999999999</v>
      </c>
      <c r="T103" s="122">
        <v>0.35120000000000001</v>
      </c>
      <c r="U103" s="122">
        <v>0.28889999999999999</v>
      </c>
      <c r="V103" s="122" t="s">
        <v>279</v>
      </c>
      <c r="W103" s="108">
        <v>8690800000</v>
      </c>
      <c r="X103" s="108">
        <v>2392250000</v>
      </c>
      <c r="Y103" s="108">
        <v>2433550000</v>
      </c>
      <c r="Z103" s="108">
        <f t="shared" si="11"/>
        <v>14374583.199999999</v>
      </c>
      <c r="AA103" s="108">
        <f t="shared" si="12"/>
        <v>15432107.949999999</v>
      </c>
      <c r="AB103" s="108">
        <f t="shared" si="13"/>
        <v>24194714</v>
      </c>
      <c r="AC103" s="108">
        <f t="shared" si="14"/>
        <v>-5611977.1499999985</v>
      </c>
    </row>
    <row r="104" spans="1:29" x14ac:dyDescent="0.2">
      <c r="A104" s="124" t="s">
        <v>314</v>
      </c>
      <c r="B104" s="99">
        <f t="shared" si="8"/>
        <v>-2.4896723425678799E-3</v>
      </c>
      <c r="C104" t="s">
        <v>228</v>
      </c>
      <c r="D104" s="99">
        <f t="shared" si="9"/>
        <v>6.3341750841750838E-2</v>
      </c>
      <c r="E104" s="123">
        <v>63107000</v>
      </c>
      <c r="F104" s="219">
        <v>32222</v>
      </c>
      <c r="G104" s="93">
        <v>31500</v>
      </c>
      <c r="H104" s="93">
        <v>2376</v>
      </c>
      <c r="I104" s="93">
        <v>5255</v>
      </c>
      <c r="J104" s="93">
        <v>2075</v>
      </c>
      <c r="K104" s="108">
        <f>(F104*138.66)*SUM(1,Macrogegevens!$C$4,0.5*Macrogegevens!$C$6,Macrogegevens!$C$8)</f>
        <v>4560388.1021640003</v>
      </c>
      <c r="L104" s="108">
        <f t="shared" si="15"/>
        <v>3102294.0999999996</v>
      </c>
      <c r="M104" s="108">
        <v>6003961.2266002772</v>
      </c>
      <c r="N104" s="108">
        <v>5199173.6253413018</v>
      </c>
      <c r="O104" s="108">
        <v>0</v>
      </c>
      <c r="P104" s="108">
        <f t="shared" si="10"/>
        <v>11203134.851941578</v>
      </c>
      <c r="Q104" s="108">
        <v>60760000</v>
      </c>
      <c r="R104" s="155">
        <v>247.559380797421</v>
      </c>
      <c r="S104" s="122">
        <v>9.5100000000000004E-2</v>
      </c>
      <c r="T104" s="122">
        <v>0.12740000000000001</v>
      </c>
      <c r="U104" s="122">
        <v>0.10199999999999999</v>
      </c>
      <c r="V104" s="122" t="s">
        <v>314</v>
      </c>
      <c r="W104" s="108">
        <v>3045200000</v>
      </c>
      <c r="X104" s="108">
        <v>410550000</v>
      </c>
      <c r="Y104" s="108">
        <v>435750000</v>
      </c>
      <c r="Z104" s="108">
        <f t="shared" si="11"/>
        <v>2895985.2</v>
      </c>
      <c r="AA104" s="108">
        <f t="shared" si="12"/>
        <v>967505.7</v>
      </c>
      <c r="AB104" s="108">
        <f t="shared" si="13"/>
        <v>6965785</v>
      </c>
      <c r="AC104" s="108">
        <f t="shared" si="14"/>
        <v>3102294.0999999996</v>
      </c>
    </row>
    <row r="105" spans="1:29" x14ac:dyDescent="0.2">
      <c r="A105" s="124" t="s">
        <v>315</v>
      </c>
      <c r="B105" s="99">
        <f t="shared" si="8"/>
        <v>-5.4486200224055405E-3</v>
      </c>
      <c r="C105" t="s">
        <v>228</v>
      </c>
      <c r="D105" s="99">
        <f t="shared" si="9"/>
        <v>3.0165509877202349E-2</v>
      </c>
      <c r="E105" s="123">
        <v>62582000</v>
      </c>
      <c r="F105" s="219">
        <v>26184</v>
      </c>
      <c r="G105" s="93">
        <v>24900</v>
      </c>
      <c r="H105" s="93">
        <v>1873</v>
      </c>
      <c r="I105" s="93">
        <v>4415</v>
      </c>
      <c r="J105" s="93">
        <v>1760</v>
      </c>
      <c r="K105" s="108">
        <f>(F105*138.66)*SUM(1,Macrogegevens!$C$4,0.5*Macrogegevens!$C$6,Macrogegevens!$C$8)</f>
        <v>3705828.3802080005</v>
      </c>
      <c r="L105" s="108">
        <f t="shared" si="15"/>
        <v>1214305.3999999999</v>
      </c>
      <c r="M105" s="108">
        <v>9083761.6996184215</v>
      </c>
      <c r="N105" s="108">
        <v>3647879.2967618112</v>
      </c>
      <c r="O105" s="108">
        <v>0</v>
      </c>
      <c r="P105" s="108">
        <f t="shared" si="10"/>
        <v>12731640.996380232</v>
      </c>
      <c r="Q105" s="108">
        <v>63211000</v>
      </c>
      <c r="R105" s="155">
        <v>-1025.2056046299117</v>
      </c>
      <c r="S105" s="122">
        <v>0.1041</v>
      </c>
      <c r="T105" s="122">
        <v>0.25409999999999999</v>
      </c>
      <c r="U105" s="122">
        <v>0.20449999999999999</v>
      </c>
      <c r="V105" s="122" t="s">
        <v>315</v>
      </c>
      <c r="W105" s="108">
        <v>2203600000</v>
      </c>
      <c r="X105" s="108">
        <v>425250000</v>
      </c>
      <c r="Y105" s="108">
        <v>458150000</v>
      </c>
      <c r="Z105" s="108">
        <f t="shared" si="11"/>
        <v>2293947.6</v>
      </c>
      <c r="AA105" s="108">
        <f t="shared" si="12"/>
        <v>2017477</v>
      </c>
      <c r="AB105" s="108">
        <f t="shared" si="13"/>
        <v>5525730</v>
      </c>
      <c r="AC105" s="108">
        <f t="shared" si="14"/>
        <v>1214305.3999999999</v>
      </c>
    </row>
    <row r="106" spans="1:29" x14ac:dyDescent="0.2">
      <c r="A106" s="124" t="s">
        <v>529</v>
      </c>
      <c r="B106" s="99">
        <f t="shared" si="8"/>
        <v>2.0701985508610144E-3</v>
      </c>
      <c r="C106" t="s">
        <v>228</v>
      </c>
      <c r="D106" s="99">
        <f t="shared" si="9"/>
        <v>2.6394608760763758E-2</v>
      </c>
      <c r="E106" s="123">
        <v>94324000</v>
      </c>
      <c r="F106" s="219">
        <v>42508</v>
      </c>
      <c r="G106" s="93">
        <v>43300</v>
      </c>
      <c r="H106" s="93">
        <v>2671</v>
      </c>
      <c r="I106" s="93">
        <v>6210</v>
      </c>
      <c r="J106" s="93">
        <v>2530</v>
      </c>
      <c r="K106" s="108">
        <f>(F106*138.66)*SUM(1,Macrogegevens!$C$4,0.5*Macrogegevens!$C$6,Macrogegevens!$C$8)</f>
        <v>6016168.3770960011</v>
      </c>
      <c r="L106" s="108">
        <f t="shared" si="15"/>
        <v>2953122.2</v>
      </c>
      <c r="M106" s="108">
        <v>10179329.064893236</v>
      </c>
      <c r="N106" s="108">
        <v>6057892.7943621548</v>
      </c>
      <c r="O106" s="108">
        <v>0</v>
      </c>
      <c r="P106" s="108">
        <f t="shared" si="10"/>
        <v>16237221.859255392</v>
      </c>
      <c r="Q106" s="108">
        <v>96387000</v>
      </c>
      <c r="R106" s="155">
        <v>970.13775166168966</v>
      </c>
      <c r="S106" s="122">
        <v>0.1086</v>
      </c>
      <c r="T106" s="122">
        <v>0.14399999999999999</v>
      </c>
      <c r="U106" s="122">
        <v>0.11899999999999999</v>
      </c>
      <c r="V106" s="122" t="s">
        <v>529</v>
      </c>
      <c r="W106" s="108">
        <v>3166800000</v>
      </c>
      <c r="X106" s="108">
        <v>739900000</v>
      </c>
      <c r="Y106" s="108">
        <v>774550000</v>
      </c>
      <c r="Z106" s="108">
        <f t="shared" si="11"/>
        <v>3439144.8</v>
      </c>
      <c r="AA106" s="108">
        <f t="shared" si="12"/>
        <v>1987170.5</v>
      </c>
      <c r="AB106" s="108">
        <f t="shared" si="13"/>
        <v>8379437.5</v>
      </c>
      <c r="AC106" s="108">
        <f t="shared" si="14"/>
        <v>2953122.2</v>
      </c>
    </row>
    <row r="107" spans="1:29" x14ac:dyDescent="0.2">
      <c r="A107" s="124" t="s">
        <v>257</v>
      </c>
      <c r="B107" s="99">
        <f t="shared" si="8"/>
        <v>-4.2979578342361591E-3</v>
      </c>
      <c r="C107" t="s">
        <v>228</v>
      </c>
      <c r="D107" s="99">
        <f t="shared" si="9"/>
        <v>8.7301587301587297E-2</v>
      </c>
      <c r="E107" s="123">
        <v>17297789</v>
      </c>
      <c r="F107" s="219">
        <v>8738</v>
      </c>
      <c r="G107" s="93">
        <v>8400</v>
      </c>
      <c r="H107" s="93">
        <v>630</v>
      </c>
      <c r="I107" s="93">
        <v>1120</v>
      </c>
      <c r="J107" s="93">
        <v>520</v>
      </c>
      <c r="K107" s="108">
        <f>(F107*138.66)*SUM(1,Macrogegevens!$C$4,0.5*Macrogegevens!$C$6,Macrogegevens!$C$8)</f>
        <v>1236691.4293560004</v>
      </c>
      <c r="L107" s="108">
        <f t="shared" si="15"/>
        <v>80700.199999999953</v>
      </c>
      <c r="M107" s="108">
        <v>2007566.3695622378</v>
      </c>
      <c r="N107" s="108">
        <v>1195263.9107762768</v>
      </c>
      <c r="O107" s="108">
        <v>0</v>
      </c>
      <c r="P107" s="108">
        <f t="shared" si="10"/>
        <v>3202830.2803385146</v>
      </c>
      <c r="Q107" s="108">
        <v>18741899</v>
      </c>
      <c r="R107" s="155">
        <v>1259.9841611041973</v>
      </c>
      <c r="S107" s="122">
        <v>0.16689000000000001</v>
      </c>
      <c r="T107" s="122">
        <v>0.20064000000000001</v>
      </c>
      <c r="U107" s="122">
        <v>0.13571</v>
      </c>
      <c r="V107" s="122" t="s">
        <v>257</v>
      </c>
      <c r="W107" s="108">
        <v>418000000</v>
      </c>
      <c r="X107" s="108">
        <v>93450000</v>
      </c>
      <c r="Y107" s="108">
        <v>116200000</v>
      </c>
      <c r="Z107" s="108">
        <f t="shared" si="11"/>
        <v>697600.20000000007</v>
      </c>
      <c r="AA107" s="108">
        <f t="shared" si="12"/>
        <v>345193.1</v>
      </c>
      <c r="AB107" s="108">
        <f t="shared" si="13"/>
        <v>1123493.5</v>
      </c>
      <c r="AC107" s="108">
        <f t="shared" si="14"/>
        <v>80700.199999999953</v>
      </c>
    </row>
    <row r="108" spans="1:29" x14ac:dyDescent="0.2">
      <c r="A108" s="124" t="s">
        <v>258</v>
      </c>
      <c r="B108" s="99">
        <f t="shared" si="8"/>
        <v>9.2911406241460352E-4</v>
      </c>
      <c r="C108" t="s">
        <v>228</v>
      </c>
      <c r="D108" s="99">
        <f t="shared" si="9"/>
        <v>4.793028322440087E-2</v>
      </c>
      <c r="E108" s="123">
        <v>49892000</v>
      </c>
      <c r="F108" s="219">
        <v>20330</v>
      </c>
      <c r="G108" s="93">
        <v>20500</v>
      </c>
      <c r="H108" s="93">
        <v>1377</v>
      </c>
      <c r="I108" s="93">
        <v>2945</v>
      </c>
      <c r="J108" s="93">
        <v>1245</v>
      </c>
      <c r="K108" s="108">
        <f>(F108*138.66)*SUM(1,Macrogegevens!$C$4,0.5*Macrogegevens!$C$6,Macrogegevens!$C$8)</f>
        <v>2877310.2264600005</v>
      </c>
      <c r="L108" s="108">
        <f t="shared" si="15"/>
        <v>426447.70000000007</v>
      </c>
      <c r="M108" s="108">
        <v>4870818.7985704411</v>
      </c>
      <c r="N108" s="108">
        <v>4405081.8855155455</v>
      </c>
      <c r="O108" s="108">
        <v>0</v>
      </c>
      <c r="P108" s="108">
        <f t="shared" si="10"/>
        <v>9275900.6840859875</v>
      </c>
      <c r="Q108" s="108">
        <v>53481000</v>
      </c>
      <c r="R108" s="155">
        <v>661.16424722046895</v>
      </c>
      <c r="S108" s="122">
        <v>0.1482</v>
      </c>
      <c r="T108" s="122">
        <v>0.1749</v>
      </c>
      <c r="U108" s="122">
        <v>0.1399</v>
      </c>
      <c r="V108" s="122" t="s">
        <v>258</v>
      </c>
      <c r="W108" s="108">
        <v>1038000000</v>
      </c>
      <c r="X108" s="108">
        <v>223650000</v>
      </c>
      <c r="Y108" s="108">
        <v>249549999.99999997</v>
      </c>
      <c r="Z108" s="108">
        <f t="shared" si="11"/>
        <v>1538316</v>
      </c>
      <c r="AA108" s="108">
        <f t="shared" si="12"/>
        <v>740284.29999999993</v>
      </c>
      <c r="AB108" s="108">
        <f t="shared" si="13"/>
        <v>2705048</v>
      </c>
      <c r="AC108" s="108">
        <f t="shared" si="14"/>
        <v>426447.70000000007</v>
      </c>
    </row>
    <row r="109" spans="1:29" x14ac:dyDescent="0.2">
      <c r="A109" s="124" t="s">
        <v>530</v>
      </c>
      <c r="B109" s="99">
        <f t="shared" si="8"/>
        <v>-2.4462469421913224E-3</v>
      </c>
      <c r="C109" t="s">
        <v>689</v>
      </c>
      <c r="D109" s="99">
        <f t="shared" si="9"/>
        <v>3.3582089552238806E-2</v>
      </c>
      <c r="E109" s="123">
        <v>40709000</v>
      </c>
      <c r="F109" s="219">
        <v>21575</v>
      </c>
      <c r="G109" s="93">
        <v>21100</v>
      </c>
      <c r="H109" s="93">
        <v>1474</v>
      </c>
      <c r="I109" s="93">
        <v>3745</v>
      </c>
      <c r="J109" s="93">
        <v>1375</v>
      </c>
      <c r="K109" s="108">
        <f>(F109*138.66)*SUM(1,Macrogegevens!$C$4,0.5*Macrogegevens!$C$6,Macrogegevens!$C$8)</f>
        <v>3053515.4026500005</v>
      </c>
      <c r="L109" s="108">
        <f t="shared" si="15"/>
        <v>808259.69999999925</v>
      </c>
      <c r="M109" s="108">
        <v>4693865.3223643117</v>
      </c>
      <c r="N109" s="108">
        <v>2779362.4220651505</v>
      </c>
      <c r="O109" s="108">
        <v>0</v>
      </c>
      <c r="P109" s="108">
        <f t="shared" si="10"/>
        <v>7473227.7444294617</v>
      </c>
      <c r="Q109" s="108">
        <v>41584000</v>
      </c>
      <c r="R109" s="155">
        <v>1335.4199269692228</v>
      </c>
      <c r="S109" s="122">
        <v>0.1179</v>
      </c>
      <c r="T109" s="122">
        <v>0.21379999999999999</v>
      </c>
      <c r="U109" s="122">
        <v>0.17</v>
      </c>
      <c r="V109" s="122" t="s">
        <v>530</v>
      </c>
      <c r="W109" s="108">
        <v>1550400000</v>
      </c>
      <c r="X109" s="108">
        <v>543900000</v>
      </c>
      <c r="Y109" s="108">
        <v>558250000</v>
      </c>
      <c r="Z109" s="108">
        <f t="shared" si="11"/>
        <v>1827921.6000000003</v>
      </c>
      <c r="AA109" s="108">
        <f t="shared" si="12"/>
        <v>2111883.2000000002</v>
      </c>
      <c r="AB109" s="108">
        <f t="shared" si="13"/>
        <v>4748064.5</v>
      </c>
      <c r="AC109" s="108">
        <f t="shared" si="14"/>
        <v>808259.69999999925</v>
      </c>
    </row>
    <row r="110" spans="1:29" x14ac:dyDescent="0.2">
      <c r="A110" s="124" t="s">
        <v>316</v>
      </c>
      <c r="B110" s="99">
        <f t="shared" si="8"/>
        <v>5.3681758330801172E-3</v>
      </c>
      <c r="C110" t="s">
        <v>689</v>
      </c>
      <c r="D110" s="99">
        <f t="shared" si="9"/>
        <v>4.0621012335176523E-2</v>
      </c>
      <c r="E110" s="123">
        <v>49290487</v>
      </c>
      <c r="F110" s="219">
        <v>26328</v>
      </c>
      <c r="G110" s="93">
        <v>27600</v>
      </c>
      <c r="H110" s="93">
        <v>2351</v>
      </c>
      <c r="I110" s="93">
        <v>5415</v>
      </c>
      <c r="J110" s="93">
        <v>2160</v>
      </c>
      <c r="K110" s="108">
        <f>(F110*138.66)*SUM(1,Macrogegevens!$C$4,0.5*Macrogegevens!$C$6,Macrogegevens!$C$8)</f>
        <v>3726208.7379360008</v>
      </c>
      <c r="L110" s="108">
        <f t="shared" si="15"/>
        <v>390223.39999999991</v>
      </c>
      <c r="M110" s="108">
        <v>4328284.1292598927</v>
      </c>
      <c r="N110" s="108">
        <v>2702917.1444867128</v>
      </c>
      <c r="O110" s="108">
        <v>0</v>
      </c>
      <c r="P110" s="108">
        <f t="shared" si="10"/>
        <v>7031201.273746606</v>
      </c>
      <c r="Q110" s="108">
        <v>54867865</v>
      </c>
      <c r="R110" s="155">
        <v>2011.043412033511</v>
      </c>
      <c r="S110" s="122">
        <v>0.13450000000000001</v>
      </c>
      <c r="T110" s="122">
        <v>0.22270000000000001</v>
      </c>
      <c r="U110" s="122">
        <v>0.2727</v>
      </c>
      <c r="V110" s="122" t="s">
        <v>316</v>
      </c>
      <c r="W110" s="108">
        <v>2214800000</v>
      </c>
      <c r="X110" s="108">
        <v>401800000</v>
      </c>
      <c r="Y110" s="108">
        <v>448000000</v>
      </c>
      <c r="Z110" s="108">
        <f t="shared" si="11"/>
        <v>2978906</v>
      </c>
      <c r="AA110" s="108">
        <f t="shared" si="12"/>
        <v>2116504.6</v>
      </c>
      <c r="AB110" s="108">
        <f t="shared" si="13"/>
        <v>5485634</v>
      </c>
      <c r="AC110" s="108">
        <f t="shared" si="14"/>
        <v>390223.39999999991</v>
      </c>
    </row>
    <row r="111" spans="1:29" x14ac:dyDescent="0.2">
      <c r="A111" s="124" t="s">
        <v>531</v>
      </c>
      <c r="B111" s="99">
        <f t="shared" si="8"/>
        <v>5.4989653713802293E-3</v>
      </c>
      <c r="C111" t="s">
        <v>228</v>
      </c>
      <c r="D111" s="99">
        <f t="shared" si="9"/>
        <v>2.2265456117596196E-2</v>
      </c>
      <c r="E111" s="123">
        <v>82401763</v>
      </c>
      <c r="F111" s="219">
        <v>38876</v>
      </c>
      <c r="G111" s="93">
        <v>40800</v>
      </c>
      <c r="H111" s="93">
        <v>2313</v>
      </c>
      <c r="I111" s="93">
        <v>5555</v>
      </c>
      <c r="J111" s="93">
        <v>2210</v>
      </c>
      <c r="K111" s="108">
        <f>(F111*138.66)*SUM(1,Macrogegevens!$C$4,0.5*Macrogegevens!$C$6,Macrogegevens!$C$8)</f>
        <v>5502130.465512001</v>
      </c>
      <c r="L111" s="108">
        <f t="shared" si="15"/>
        <v>3678305.5999999992</v>
      </c>
      <c r="M111" s="108">
        <v>7714016.7716048779</v>
      </c>
      <c r="N111" s="108">
        <v>4691417.9408679148</v>
      </c>
      <c r="O111" s="108">
        <v>0</v>
      </c>
      <c r="P111" s="108">
        <f t="shared" si="10"/>
        <v>12405434.712472793</v>
      </c>
      <c r="Q111" s="108">
        <v>84427108</v>
      </c>
      <c r="R111" s="155">
        <v>1867.0409528556811</v>
      </c>
      <c r="S111" s="122">
        <v>7.8600000000000003E-2</v>
      </c>
      <c r="T111" s="122">
        <v>0.13739999999999999</v>
      </c>
      <c r="U111" s="122">
        <v>0.1118</v>
      </c>
      <c r="V111" s="122" t="s">
        <v>531</v>
      </c>
      <c r="W111" s="108">
        <v>3202800000</v>
      </c>
      <c r="X111" s="108">
        <v>412300000</v>
      </c>
      <c r="Y111" s="108">
        <v>433300000</v>
      </c>
      <c r="Z111" s="108">
        <f t="shared" si="11"/>
        <v>2517400.8000000003</v>
      </c>
      <c r="AA111" s="108">
        <f t="shared" si="12"/>
        <v>1050929.6000000001</v>
      </c>
      <c r="AB111" s="108">
        <f t="shared" si="13"/>
        <v>7246636</v>
      </c>
      <c r="AC111" s="108">
        <f t="shared" si="14"/>
        <v>3678305.5999999992</v>
      </c>
    </row>
    <row r="112" spans="1:29" x14ac:dyDescent="0.2">
      <c r="A112" s="124" t="s">
        <v>532</v>
      </c>
      <c r="B112" s="99">
        <f t="shared" si="8"/>
        <v>1.7990349946179498E-3</v>
      </c>
      <c r="C112" t="s">
        <v>228</v>
      </c>
      <c r="D112" s="99">
        <f t="shared" si="9"/>
        <v>3.6141804788213626E-2</v>
      </c>
      <c r="E112" s="123">
        <v>66308871</v>
      </c>
      <c r="F112" s="219">
        <v>29522</v>
      </c>
      <c r="G112" s="93">
        <v>30000</v>
      </c>
      <c r="H112" s="93">
        <v>2172</v>
      </c>
      <c r="I112" s="93">
        <v>4940</v>
      </c>
      <c r="J112" s="93">
        <v>2015</v>
      </c>
      <c r="K112" s="108">
        <f>(F112*138.66)*SUM(1,Macrogegevens!$C$4,0.5*Macrogegevens!$C$6,Macrogegevens!$C$8)</f>
        <v>4178256.3947640005</v>
      </c>
      <c r="L112" s="108">
        <f t="shared" si="15"/>
        <v>0</v>
      </c>
      <c r="M112" s="108">
        <v>5619418.2440524036</v>
      </c>
      <c r="N112" s="108">
        <v>3539862.4070082232</v>
      </c>
      <c r="O112" s="108">
        <v>0</v>
      </c>
      <c r="P112" s="108">
        <f t="shared" si="10"/>
        <v>9159280.6510606259</v>
      </c>
      <c r="Q112" s="108">
        <v>68255272</v>
      </c>
      <c r="R112" s="155">
        <v>5760.8038104509269</v>
      </c>
      <c r="S112" s="122">
        <v>0.17730099999999999</v>
      </c>
      <c r="T112" s="122">
        <v>0.245034</v>
      </c>
      <c r="U112" s="122">
        <v>0.187556</v>
      </c>
      <c r="V112" s="122" t="s">
        <v>532</v>
      </c>
      <c r="W112" s="108">
        <v>2277200000</v>
      </c>
      <c r="X112" s="108">
        <v>402850000</v>
      </c>
      <c r="Y112" s="108">
        <v>473549999.99999994</v>
      </c>
      <c r="Z112" s="108">
        <f t="shared" si="11"/>
        <v>4037498.3719999995</v>
      </c>
      <c r="AA112" s="108">
        <f t="shared" si="12"/>
        <v>1875290.9070000001</v>
      </c>
      <c r="AB112" s="108">
        <f t="shared" si="13"/>
        <v>5644944</v>
      </c>
      <c r="AC112" s="108">
        <f t="shared" si="14"/>
        <v>-267845.27899999963</v>
      </c>
    </row>
    <row r="113" spans="1:29" x14ac:dyDescent="0.2">
      <c r="A113" s="124" t="s">
        <v>579</v>
      </c>
      <c r="B113" s="99">
        <f t="shared" si="8"/>
        <v>-8.206632193666229E-3</v>
      </c>
      <c r="C113" t="s">
        <v>228</v>
      </c>
      <c r="D113" s="99">
        <f t="shared" si="9"/>
        <v>3.7671232876712327E-2</v>
      </c>
      <c r="E113" s="123">
        <v>45574626</v>
      </c>
      <c r="F113" s="219">
        <v>17276</v>
      </c>
      <c r="G113" s="93">
        <v>16000</v>
      </c>
      <c r="H113" s="93">
        <v>1022</v>
      </c>
      <c r="I113" s="93">
        <v>2355</v>
      </c>
      <c r="J113" s="93">
        <v>945</v>
      </c>
      <c r="K113" s="108">
        <f>(F113*138.66)*SUM(1,Macrogegevens!$C$4,0.5*Macrogegevens!$C$6,Macrogegevens!$C$8)</f>
        <v>2445076.8063120004</v>
      </c>
      <c r="L113" s="108">
        <f t="shared" si="15"/>
        <v>964360.10000000033</v>
      </c>
      <c r="M113" s="108">
        <v>3131800.7545737727</v>
      </c>
      <c r="N113" s="108">
        <v>2472453.8529862063</v>
      </c>
      <c r="O113" s="108">
        <v>0</v>
      </c>
      <c r="P113" s="108">
        <f t="shared" si="10"/>
        <v>5604254.607559979</v>
      </c>
      <c r="Q113" s="108">
        <v>42694498</v>
      </c>
      <c r="R113" s="155">
        <v>1442.8379875240482</v>
      </c>
      <c r="S113" s="122">
        <v>0.11849999999999999</v>
      </c>
      <c r="T113" s="122">
        <v>0.1636</v>
      </c>
      <c r="U113" s="122">
        <v>0.12659999999999999</v>
      </c>
      <c r="V113" s="122" t="s">
        <v>579</v>
      </c>
      <c r="W113" s="108">
        <v>1212000000</v>
      </c>
      <c r="X113" s="108">
        <v>321650000</v>
      </c>
      <c r="Y113" s="108">
        <v>346500000</v>
      </c>
      <c r="Z113" s="108">
        <f t="shared" si="11"/>
        <v>1436219.9999999998</v>
      </c>
      <c r="AA113" s="108">
        <f t="shared" si="12"/>
        <v>964888.39999999991</v>
      </c>
      <c r="AB113" s="108">
        <f t="shared" si="13"/>
        <v>3365468.5</v>
      </c>
      <c r="AC113" s="108">
        <f t="shared" si="14"/>
        <v>964360.10000000033</v>
      </c>
    </row>
    <row r="114" spans="1:29" x14ac:dyDescent="0.2">
      <c r="A114" s="124" t="s">
        <v>445</v>
      </c>
      <c r="B114" s="99">
        <f t="shared" si="8"/>
        <v>-4.3252129956133272E-3</v>
      </c>
      <c r="C114" t="s">
        <v>689</v>
      </c>
      <c r="D114" s="99">
        <f t="shared" si="9"/>
        <v>4.0160642570281124E-2</v>
      </c>
      <c r="E114" s="123">
        <v>26355491</v>
      </c>
      <c r="F114" s="219">
        <v>14463</v>
      </c>
      <c r="G114" s="93">
        <v>13900</v>
      </c>
      <c r="H114" s="93">
        <v>1245</v>
      </c>
      <c r="I114" s="93">
        <v>2900</v>
      </c>
      <c r="J114" s="93">
        <v>1145</v>
      </c>
      <c r="K114" s="108">
        <f>(F114*138.66)*SUM(1,Macrogegevens!$C$4,0.5*Macrogegevens!$C$6,Macrogegevens!$C$8)</f>
        <v>2046952.1793060002</v>
      </c>
      <c r="L114" s="108">
        <f t="shared" si="15"/>
        <v>954278.85000000009</v>
      </c>
      <c r="M114" s="108">
        <v>2128394.9374576691</v>
      </c>
      <c r="N114" s="108">
        <v>1950287.9224556359</v>
      </c>
      <c r="O114" s="108">
        <v>0</v>
      </c>
      <c r="P114" s="108">
        <f t="shared" si="10"/>
        <v>4078682.8599133049</v>
      </c>
      <c r="Q114" s="108">
        <v>26348437</v>
      </c>
      <c r="R114" s="155">
        <v>-5492.4918690748045</v>
      </c>
      <c r="S114" s="122">
        <v>0.1148</v>
      </c>
      <c r="T114" s="122">
        <v>0.15809999999999999</v>
      </c>
      <c r="U114" s="122">
        <v>0.13239999999999999</v>
      </c>
      <c r="V114" s="122" t="s">
        <v>445</v>
      </c>
      <c r="W114" s="108">
        <v>1254400000</v>
      </c>
      <c r="X114" s="108">
        <v>205450000</v>
      </c>
      <c r="Y114" s="108">
        <v>227500000</v>
      </c>
      <c r="Z114" s="108">
        <f t="shared" si="11"/>
        <v>1440051.2</v>
      </c>
      <c r="AA114" s="108">
        <f t="shared" si="12"/>
        <v>626026.44999999995</v>
      </c>
      <c r="AB114" s="108">
        <f t="shared" si="13"/>
        <v>3020356.5</v>
      </c>
      <c r="AC114" s="108">
        <f t="shared" si="14"/>
        <v>954278.85000000009</v>
      </c>
    </row>
    <row r="115" spans="1:29" x14ac:dyDescent="0.2">
      <c r="A115" s="124" t="s">
        <v>533</v>
      </c>
      <c r="B115" s="99">
        <f t="shared" si="8"/>
        <v>7.8086372393568956E-3</v>
      </c>
      <c r="C115" t="s">
        <v>689</v>
      </c>
      <c r="D115" s="99">
        <f t="shared" si="9"/>
        <v>3.7701974865350089E-2</v>
      </c>
      <c r="E115" s="123">
        <v>46137334</v>
      </c>
      <c r="F115" s="219">
        <v>26068</v>
      </c>
      <c r="G115" s="93">
        <v>27900</v>
      </c>
      <c r="H115" s="93">
        <v>1671</v>
      </c>
      <c r="I115" s="93">
        <v>3815</v>
      </c>
      <c r="J115" s="93">
        <v>1545</v>
      </c>
      <c r="K115" s="108">
        <f>(F115*138.66)*SUM(1,Macrogegevens!$C$4,0.5*Macrogegevens!$C$6,Macrogegevens!$C$8)</f>
        <v>3689410.8698160006</v>
      </c>
      <c r="L115" s="108">
        <f t="shared" si="15"/>
        <v>1662761.9000000004</v>
      </c>
      <c r="M115" s="108">
        <v>5130310.6760340771</v>
      </c>
      <c r="N115" s="108">
        <v>3264622.3763379683</v>
      </c>
      <c r="O115" s="108">
        <v>0</v>
      </c>
      <c r="P115" s="108">
        <f t="shared" si="10"/>
        <v>8394933.0523720458</v>
      </c>
      <c r="Q115" s="108">
        <v>46582084</v>
      </c>
      <c r="R115" s="155">
        <v>1520.4619826756496</v>
      </c>
      <c r="S115" s="122">
        <v>9.5100000000000004E-2</v>
      </c>
      <c r="T115" s="122">
        <v>0.19159999999999999</v>
      </c>
      <c r="U115" s="122">
        <v>0.1545</v>
      </c>
      <c r="V115" s="122" t="s">
        <v>533</v>
      </c>
      <c r="W115" s="108">
        <v>1894800000</v>
      </c>
      <c r="X115" s="108">
        <v>536549999.99999994</v>
      </c>
      <c r="Y115" s="108">
        <v>574000000</v>
      </c>
      <c r="Z115" s="108">
        <f t="shared" si="11"/>
        <v>1801954.8</v>
      </c>
      <c r="AA115" s="108">
        <f t="shared" si="12"/>
        <v>1914859.7999999998</v>
      </c>
      <c r="AB115" s="108">
        <f t="shared" si="13"/>
        <v>5379576.5</v>
      </c>
      <c r="AC115" s="108">
        <f t="shared" si="14"/>
        <v>1662761.9000000004</v>
      </c>
    </row>
    <row r="116" spans="1:29" x14ac:dyDescent="0.2">
      <c r="A116" s="124" t="s">
        <v>446</v>
      </c>
      <c r="B116" s="99">
        <f t="shared" si="8"/>
        <v>-3.2474342043094765E-3</v>
      </c>
      <c r="C116" t="s">
        <v>689</v>
      </c>
      <c r="D116" s="99">
        <f t="shared" si="9"/>
        <v>4.3136111920722822E-2</v>
      </c>
      <c r="E116" s="123">
        <v>106693782</v>
      </c>
      <c r="F116" s="219">
        <v>48209</v>
      </c>
      <c r="G116" s="93">
        <v>46800</v>
      </c>
      <c r="H116" s="93">
        <v>3431</v>
      </c>
      <c r="I116" s="93">
        <v>7705</v>
      </c>
      <c r="J116" s="93">
        <v>3135</v>
      </c>
      <c r="K116" s="108">
        <f>(F116*138.66)*SUM(1,Macrogegevens!$C$4,0.5*Macrogegevens!$C$6,Macrogegevens!$C$8)</f>
        <v>6823032.4007580001</v>
      </c>
      <c r="L116" s="108">
        <f t="shared" si="15"/>
        <v>3900696.4350000001</v>
      </c>
      <c r="M116" s="108">
        <v>9434038.465434067</v>
      </c>
      <c r="N116" s="108">
        <v>6208826.0874076849</v>
      </c>
      <c r="O116" s="108">
        <v>0</v>
      </c>
      <c r="P116" s="108">
        <f t="shared" si="10"/>
        <v>15642864.552841753</v>
      </c>
      <c r="Q116" s="108">
        <v>110582698</v>
      </c>
      <c r="R116" s="161">
        <v>913.12741312741309</v>
      </c>
      <c r="S116" s="122">
        <v>0.10832</v>
      </c>
      <c r="T116" s="122">
        <v>0.10904</v>
      </c>
      <c r="U116" s="122">
        <v>8.795E-2</v>
      </c>
      <c r="V116" s="122" t="s">
        <v>446</v>
      </c>
      <c r="W116" s="108">
        <v>3740000000</v>
      </c>
      <c r="X116" s="108">
        <v>758100000</v>
      </c>
      <c r="Y116" s="108">
        <v>798350000</v>
      </c>
      <c r="Z116" s="108">
        <f t="shared" si="11"/>
        <v>4051168.0000000005</v>
      </c>
      <c r="AA116" s="108">
        <f t="shared" si="12"/>
        <v>1528781.0649999999</v>
      </c>
      <c r="AB116" s="108">
        <f t="shared" si="13"/>
        <v>9480645.5</v>
      </c>
      <c r="AC116" s="108">
        <f t="shared" si="14"/>
        <v>3900696.4350000001</v>
      </c>
    </row>
    <row r="117" spans="1:29" x14ac:dyDescent="0.2">
      <c r="A117" s="124" t="s">
        <v>497</v>
      </c>
      <c r="B117" s="99">
        <f t="shared" si="8"/>
        <v>-1.067542230714715E-3</v>
      </c>
      <c r="C117" t="s">
        <v>228</v>
      </c>
      <c r="D117" s="99">
        <f t="shared" si="9"/>
        <v>3.5100821508588502E-2</v>
      </c>
      <c r="E117" s="123">
        <v>98795000</v>
      </c>
      <c r="F117" s="219">
        <v>37157</v>
      </c>
      <c r="G117" s="93">
        <v>36800</v>
      </c>
      <c r="H117" s="93">
        <v>2678</v>
      </c>
      <c r="I117" s="93">
        <v>6195</v>
      </c>
      <c r="J117" s="93">
        <v>2490</v>
      </c>
      <c r="K117" s="108">
        <f>(F117*138.66)*SUM(1,Macrogegevens!$C$4,0.5*Macrogegevens!$C$6,Macrogegevens!$C$8)</f>
        <v>5258839.9451340009</v>
      </c>
      <c r="L117" s="108">
        <f t="shared" si="15"/>
        <v>831695.70000000019</v>
      </c>
      <c r="M117" s="108">
        <v>7577313.0012334101</v>
      </c>
      <c r="N117" s="108">
        <v>5760025.7459827941</v>
      </c>
      <c r="O117" s="108">
        <v>0</v>
      </c>
      <c r="P117" s="108">
        <f t="shared" si="10"/>
        <v>13337338.747216204</v>
      </c>
      <c r="Q117" s="108">
        <v>103140000</v>
      </c>
      <c r="R117" s="155">
        <v>4272.9408550744438</v>
      </c>
      <c r="S117" s="122">
        <v>0.1346</v>
      </c>
      <c r="T117" s="122">
        <v>0.22819999999999999</v>
      </c>
      <c r="U117" s="122">
        <v>0.17480000000000001</v>
      </c>
      <c r="V117" s="122" t="s">
        <v>497</v>
      </c>
      <c r="W117" s="108">
        <v>2694000000</v>
      </c>
      <c r="X117" s="108">
        <v>812350000</v>
      </c>
      <c r="Y117" s="108">
        <v>838950000</v>
      </c>
      <c r="Z117" s="108">
        <f t="shared" si="11"/>
        <v>3626124</v>
      </c>
      <c r="AA117" s="108">
        <f t="shared" si="12"/>
        <v>3320267.3</v>
      </c>
      <c r="AB117" s="108">
        <f t="shared" si="13"/>
        <v>7778087</v>
      </c>
      <c r="AC117" s="108">
        <f t="shared" si="14"/>
        <v>831695.70000000019</v>
      </c>
    </row>
    <row r="118" spans="1:29" x14ac:dyDescent="0.2">
      <c r="A118" s="124" t="s">
        <v>534</v>
      </c>
      <c r="B118" s="99">
        <f t="shared" si="8"/>
        <v>6.2240764079015349E-3</v>
      </c>
      <c r="C118" t="s">
        <v>689</v>
      </c>
      <c r="D118" s="99">
        <f t="shared" si="9"/>
        <v>3.0166435506241332E-2</v>
      </c>
      <c r="E118" s="123">
        <v>50550611</v>
      </c>
      <c r="F118" s="219">
        <v>23011</v>
      </c>
      <c r="G118" s="93">
        <v>24300</v>
      </c>
      <c r="H118" s="93">
        <v>1442</v>
      </c>
      <c r="I118" s="93">
        <v>3350</v>
      </c>
      <c r="J118" s="93">
        <v>1355</v>
      </c>
      <c r="K118" s="108">
        <f>(F118*138.66)*SUM(1,Macrogegevens!$C$4,0.5*Macrogegevens!$C$6,Macrogegevens!$C$8)</f>
        <v>3256752.8588820002</v>
      </c>
      <c r="L118" s="108">
        <f t="shared" si="15"/>
        <v>1329360.6000000001</v>
      </c>
      <c r="M118" s="108">
        <v>6347204.5514926119</v>
      </c>
      <c r="N118" s="108">
        <v>2892557.5915768612</v>
      </c>
      <c r="O118" s="108">
        <v>0</v>
      </c>
      <c r="P118" s="108">
        <f t="shared" si="10"/>
        <v>9239762.1430694722</v>
      </c>
      <c r="Q118" s="108">
        <v>50573518</v>
      </c>
      <c r="R118" s="155">
        <v>1335.969421378674</v>
      </c>
      <c r="S118" s="122">
        <v>0.1134</v>
      </c>
      <c r="T118" s="122">
        <v>0.18959999999999999</v>
      </c>
      <c r="U118" s="122">
        <v>0.15279999999999999</v>
      </c>
      <c r="V118" s="122" t="s">
        <v>534</v>
      </c>
      <c r="W118" s="108">
        <v>1955600000</v>
      </c>
      <c r="X118" s="108">
        <v>263899999.99999997</v>
      </c>
      <c r="Y118" s="108">
        <v>284200000</v>
      </c>
      <c r="Z118" s="108">
        <f t="shared" si="11"/>
        <v>2217650.4</v>
      </c>
      <c r="AA118" s="108">
        <f t="shared" si="12"/>
        <v>934611.99999999988</v>
      </c>
      <c r="AB118" s="108">
        <f t="shared" si="13"/>
        <v>4481623</v>
      </c>
      <c r="AC118" s="108">
        <f t="shared" si="14"/>
        <v>1329360.6000000001</v>
      </c>
    </row>
    <row r="119" spans="1:29" x14ac:dyDescent="0.2">
      <c r="A119" s="124" t="s">
        <v>447</v>
      </c>
      <c r="B119" s="99">
        <f t="shared" si="8"/>
        <v>3.0247577363995948E-3</v>
      </c>
      <c r="C119" t="s">
        <v>621</v>
      </c>
      <c r="D119" s="99">
        <f t="shared" si="9"/>
        <v>3.9501039501039503E-2</v>
      </c>
      <c r="E119" s="123">
        <v>126965000</v>
      </c>
      <c r="F119" s="219">
        <v>35338</v>
      </c>
      <c r="G119" s="93">
        <v>36300</v>
      </c>
      <c r="H119" s="93">
        <v>2405</v>
      </c>
      <c r="I119" s="93">
        <v>5565</v>
      </c>
      <c r="J119" s="93">
        <v>2215</v>
      </c>
      <c r="K119" s="108">
        <f>(F119*138.66)*SUM(1,Macrogegevens!$C$4,0.5*Macrogegevens!$C$6,Macrogegevens!$C$8)</f>
        <v>5001396.3985560006</v>
      </c>
      <c r="L119" s="108">
        <f t="shared" si="15"/>
        <v>395281.09999999963</v>
      </c>
      <c r="M119" s="108">
        <v>8625837.6221343074</v>
      </c>
      <c r="N119" s="108">
        <v>4533370.9551604548</v>
      </c>
      <c r="O119" s="108">
        <v>0</v>
      </c>
      <c r="P119" s="108">
        <f t="shared" si="10"/>
        <v>13159208.577294763</v>
      </c>
      <c r="Q119" s="108">
        <v>127775000</v>
      </c>
      <c r="R119" s="155">
        <v>4767.8504457202207</v>
      </c>
      <c r="S119" s="122">
        <v>0.1263</v>
      </c>
      <c r="T119" s="122">
        <v>0.27139999999999997</v>
      </c>
      <c r="U119" s="122">
        <v>0.21759999999999999</v>
      </c>
      <c r="V119" s="122" t="s">
        <v>447</v>
      </c>
      <c r="W119" s="108">
        <v>2400400000</v>
      </c>
      <c r="X119" s="108">
        <v>660100000</v>
      </c>
      <c r="Y119" s="108">
        <v>673050000</v>
      </c>
      <c r="Z119" s="108">
        <f t="shared" si="11"/>
        <v>3031705.2</v>
      </c>
      <c r="AA119" s="108">
        <f t="shared" si="12"/>
        <v>3256068.2</v>
      </c>
      <c r="AB119" s="108">
        <f t="shared" si="13"/>
        <v>6683054.5</v>
      </c>
      <c r="AC119" s="108">
        <f t="shared" si="14"/>
        <v>395281.09999999963</v>
      </c>
    </row>
    <row r="120" spans="1:29" x14ac:dyDescent="0.2">
      <c r="A120" s="124" t="s">
        <v>448</v>
      </c>
      <c r="B120" s="99">
        <f t="shared" si="8"/>
        <v>1.3611662048172999E-2</v>
      </c>
      <c r="C120" t="s">
        <v>621</v>
      </c>
      <c r="D120" s="99">
        <f t="shared" si="9"/>
        <v>1.3211903540277065E-2</v>
      </c>
      <c r="E120" s="123">
        <v>193444000</v>
      </c>
      <c r="F120" s="219">
        <v>71091</v>
      </c>
      <c r="G120" s="93">
        <v>79800</v>
      </c>
      <c r="H120" s="93">
        <v>3898</v>
      </c>
      <c r="I120" s="93">
        <v>9375</v>
      </c>
      <c r="J120" s="93">
        <v>3795</v>
      </c>
      <c r="K120" s="108">
        <f>(F120*138.66)*SUM(1,Macrogegevens!$C$4,0.5*Macrogegevens!$C$6,Macrogegevens!$C$8)</f>
        <v>10061527.855842002</v>
      </c>
      <c r="L120" s="108">
        <f t="shared" si="15"/>
        <v>0</v>
      </c>
      <c r="M120" s="108">
        <v>22954098.292058352</v>
      </c>
      <c r="N120" s="108">
        <v>8266682.0599951185</v>
      </c>
      <c r="O120" s="108">
        <v>15379309.540458599</v>
      </c>
      <c r="P120" s="108">
        <f t="shared" si="10"/>
        <v>46600089.892512068</v>
      </c>
      <c r="Q120" s="108">
        <v>193413000</v>
      </c>
      <c r="R120" s="155">
        <v>2351.1431062118613</v>
      </c>
      <c r="S120" s="122">
        <v>0.15110000000000001</v>
      </c>
      <c r="T120" s="122">
        <v>0.26550000000000001</v>
      </c>
      <c r="U120" s="122">
        <v>0.2117</v>
      </c>
      <c r="V120" s="122" t="s">
        <v>448</v>
      </c>
      <c r="W120" s="108">
        <v>4504400000</v>
      </c>
      <c r="X120" s="108">
        <v>1118950000</v>
      </c>
      <c r="Y120" s="108">
        <v>1135750000</v>
      </c>
      <c r="Z120" s="108">
        <f t="shared" si="11"/>
        <v>6806148.4000000013</v>
      </c>
      <c r="AA120" s="108">
        <f t="shared" si="12"/>
        <v>5375195</v>
      </c>
      <c r="AB120" s="108">
        <f t="shared" si="13"/>
        <v>12098789</v>
      </c>
      <c r="AC120" s="108">
        <f t="shared" si="14"/>
        <v>-82554.400000001304</v>
      </c>
    </row>
    <row r="121" spans="1:29" x14ac:dyDescent="0.2">
      <c r="A121" s="124" t="s">
        <v>535</v>
      </c>
      <c r="B121" s="99">
        <f t="shared" si="8"/>
        <v>3.9358159249167426E-3</v>
      </c>
      <c r="C121" t="s">
        <v>228</v>
      </c>
      <c r="D121" s="99">
        <f t="shared" si="9"/>
        <v>3.3426183844011144E-2</v>
      </c>
      <c r="E121" s="123">
        <v>37829993</v>
      </c>
      <c r="F121" s="219">
        <v>12845</v>
      </c>
      <c r="G121" s="93">
        <v>13300</v>
      </c>
      <c r="H121" s="93">
        <v>718</v>
      </c>
      <c r="I121" s="93">
        <v>1540</v>
      </c>
      <c r="J121" s="93">
        <v>670</v>
      </c>
      <c r="K121" s="108">
        <f>(F121*138.66)*SUM(1,Macrogegevens!$C$4,0.5*Macrogegevens!$C$6,Macrogegevens!$C$8)</f>
        <v>1817956.2153900003</v>
      </c>
      <c r="L121" s="108">
        <f t="shared" si="15"/>
        <v>487088</v>
      </c>
      <c r="M121" s="108">
        <v>2200606.4716117261</v>
      </c>
      <c r="N121" s="108">
        <v>1503518.583781979</v>
      </c>
      <c r="O121" s="108">
        <v>0</v>
      </c>
      <c r="P121" s="108">
        <f t="shared" si="10"/>
        <v>3704125.0553937051</v>
      </c>
      <c r="Q121" s="108">
        <v>40321489</v>
      </c>
      <c r="R121" s="155">
        <v>-358.5197801347062</v>
      </c>
      <c r="S121" s="122">
        <v>0.13</v>
      </c>
      <c r="T121" s="122">
        <v>0.17810000000000001</v>
      </c>
      <c r="U121" s="122">
        <v>0.1439</v>
      </c>
      <c r="V121" s="122" t="s">
        <v>535</v>
      </c>
      <c r="W121" s="108">
        <v>873200000</v>
      </c>
      <c r="X121" s="108">
        <v>150850000</v>
      </c>
      <c r="Y121" s="108">
        <v>164850000</v>
      </c>
      <c r="Z121" s="108">
        <f t="shared" si="11"/>
        <v>1135160</v>
      </c>
      <c r="AA121" s="108">
        <f t="shared" si="12"/>
        <v>505883</v>
      </c>
      <c r="AB121" s="108">
        <f t="shared" si="13"/>
        <v>2128131</v>
      </c>
      <c r="AC121" s="108">
        <f t="shared" si="14"/>
        <v>487088</v>
      </c>
    </row>
    <row r="122" spans="1:29" x14ac:dyDescent="0.2">
      <c r="A122" s="124" t="s">
        <v>317</v>
      </c>
      <c r="B122" s="99">
        <v>-5.9647824704194821E-3</v>
      </c>
      <c r="C122" t="s">
        <v>228</v>
      </c>
      <c r="D122" s="99">
        <v>5.7163886162904812E-2</v>
      </c>
      <c r="E122" s="123">
        <v>76334000</v>
      </c>
      <c r="F122" s="219">
        <v>34238</v>
      </c>
      <c r="G122" s="93">
        <v>32400</v>
      </c>
      <c r="H122" s="93">
        <v>2038</v>
      </c>
      <c r="I122" s="93">
        <v>4435</v>
      </c>
      <c r="J122" s="108">
        <v>1805</v>
      </c>
      <c r="K122" s="108">
        <v>4845713.1103560012</v>
      </c>
      <c r="L122" s="108">
        <v>1258761.0000000005</v>
      </c>
      <c r="M122" s="108">
        <v>6698988.5084001105</v>
      </c>
      <c r="N122" s="108">
        <v>5057788.6259319298</v>
      </c>
      <c r="O122" s="108">
        <v>0</v>
      </c>
      <c r="P122" s="108">
        <v>11756777.13433204</v>
      </c>
      <c r="Q122" s="108">
        <v>77344000</v>
      </c>
      <c r="R122" s="155">
        <v>468</v>
      </c>
      <c r="S122" s="122">
        <v>0.12</v>
      </c>
      <c r="T122" s="122">
        <v>0.25</v>
      </c>
      <c r="U122" s="122">
        <v>0.2</v>
      </c>
      <c r="V122" s="122" t="s">
        <v>317</v>
      </c>
      <c r="W122" s="108">
        <v>2699200000</v>
      </c>
      <c r="X122" s="108">
        <v>355600000</v>
      </c>
      <c r="Y122" s="108">
        <v>387100000</v>
      </c>
      <c r="Z122" s="108">
        <v>3239039.9999999995</v>
      </c>
      <c r="AA122" s="108">
        <v>1663200</v>
      </c>
      <c r="AB122" s="108">
        <v>6161001</v>
      </c>
      <c r="AC122" s="108">
        <v>1258761.0000000005</v>
      </c>
    </row>
    <row r="123" spans="1:29" x14ac:dyDescent="0.2">
      <c r="A123" s="125" t="s">
        <v>235</v>
      </c>
      <c r="B123" s="99">
        <f t="shared" si="8"/>
        <v>4.2941626105759342E-3</v>
      </c>
      <c r="C123" t="s">
        <v>621</v>
      </c>
      <c r="D123" s="99">
        <f t="shared" si="9"/>
        <v>3.5881084964972158E-2</v>
      </c>
      <c r="E123" s="123">
        <v>846959000</v>
      </c>
      <c r="F123" s="219">
        <v>200453</v>
      </c>
      <c r="G123" s="93">
        <v>208200</v>
      </c>
      <c r="H123" s="93">
        <v>11134</v>
      </c>
      <c r="I123" s="93">
        <v>25635</v>
      </c>
      <c r="J123" s="93">
        <v>10335</v>
      </c>
      <c r="K123" s="108">
        <f>(F123*138.66)*SUM(1,Macrogegevens!$C$4,0.5*Macrogegevens!$C$6,Macrogegevens!$C$8)</f>
        <v>28370165.608686004</v>
      </c>
      <c r="L123" s="108">
        <f t="shared" si="15"/>
        <v>0</v>
      </c>
      <c r="M123" s="108">
        <v>47824784.838245049</v>
      </c>
      <c r="N123" s="108">
        <v>25912127.00190793</v>
      </c>
      <c r="O123" s="108">
        <v>56535363.132041045</v>
      </c>
      <c r="P123" s="108">
        <f t="shared" si="10"/>
        <v>130272274.97219402</v>
      </c>
      <c r="Q123" s="108">
        <v>851920000</v>
      </c>
      <c r="R123" s="155">
        <v>3846.880372454591</v>
      </c>
      <c r="S123" s="122">
        <v>0.16309999999999999</v>
      </c>
      <c r="T123" s="122">
        <v>0.40679999999999999</v>
      </c>
      <c r="U123" s="122">
        <v>0.32729999999999998</v>
      </c>
      <c r="V123" s="122" t="s">
        <v>235</v>
      </c>
      <c r="W123" s="108">
        <v>11577200000</v>
      </c>
      <c r="X123" s="108">
        <v>3874849999.9999995</v>
      </c>
      <c r="Y123" s="108">
        <v>3940649999.9999995</v>
      </c>
      <c r="Z123" s="108">
        <f t="shared" si="11"/>
        <v>18882413.199999999</v>
      </c>
      <c r="AA123" s="108">
        <f t="shared" si="12"/>
        <v>28660637.249999993</v>
      </c>
      <c r="AB123" s="108">
        <f t="shared" si="13"/>
        <v>34712933</v>
      </c>
      <c r="AC123" s="108">
        <f t="shared" si="14"/>
        <v>-12830117.449999992</v>
      </c>
    </row>
    <row r="124" spans="1:29" x14ac:dyDescent="0.2">
      <c r="A124" s="124" t="s">
        <v>236</v>
      </c>
      <c r="B124" s="99">
        <f t="shared" si="8"/>
        <v>-3.8680819080093129E-3</v>
      </c>
      <c r="C124" t="s">
        <v>228</v>
      </c>
      <c r="D124" s="99">
        <f t="shared" si="9"/>
        <v>0.11637487126673532</v>
      </c>
      <c r="E124" s="123">
        <v>22269349</v>
      </c>
      <c r="F124" s="219">
        <v>12122</v>
      </c>
      <c r="G124" s="93">
        <v>11700</v>
      </c>
      <c r="H124" s="93">
        <v>971</v>
      </c>
      <c r="I124" s="93">
        <v>1835</v>
      </c>
      <c r="J124" s="93">
        <v>745</v>
      </c>
      <c r="K124" s="108">
        <f>(F124*138.66)*SUM(1,Macrogegevens!$C$4,0.5*Macrogegevens!$C$6,Macrogegevens!$C$8)</f>
        <v>1715629.8359640003</v>
      </c>
      <c r="L124" s="108">
        <f t="shared" si="15"/>
        <v>471814.60000000009</v>
      </c>
      <c r="M124" s="108">
        <v>2981509.037452626</v>
      </c>
      <c r="N124" s="108">
        <v>1945048.8957999251</v>
      </c>
      <c r="O124" s="108">
        <v>0</v>
      </c>
      <c r="P124" s="108">
        <f t="shared" si="10"/>
        <v>4926557.9332525507</v>
      </c>
      <c r="Q124" s="108">
        <v>24248492</v>
      </c>
      <c r="R124" s="155">
        <v>2079.4827444197349</v>
      </c>
      <c r="S124" s="122">
        <v>0.1124</v>
      </c>
      <c r="T124" s="122">
        <v>0.19889999999999999</v>
      </c>
      <c r="U124" s="122">
        <v>0.1565</v>
      </c>
      <c r="V124" s="122" t="s">
        <v>236</v>
      </c>
      <c r="W124" s="108">
        <v>696400000</v>
      </c>
      <c r="X124" s="108">
        <v>102200000</v>
      </c>
      <c r="Y124" s="108">
        <v>125999999.99999999</v>
      </c>
      <c r="Z124" s="108">
        <f t="shared" si="11"/>
        <v>782753.6</v>
      </c>
      <c r="AA124" s="108">
        <f t="shared" si="12"/>
        <v>400465.79999999993</v>
      </c>
      <c r="AB124" s="108">
        <f t="shared" si="13"/>
        <v>1655034</v>
      </c>
      <c r="AC124" s="108">
        <f t="shared" si="14"/>
        <v>471814.60000000009</v>
      </c>
    </row>
    <row r="125" spans="1:29" x14ac:dyDescent="0.2">
      <c r="A125" s="124" t="s">
        <v>580</v>
      </c>
      <c r="B125" s="99">
        <f t="shared" si="8"/>
        <v>-2.2688251165072356E-3</v>
      </c>
      <c r="C125" t="s">
        <v>689</v>
      </c>
      <c r="D125" s="99">
        <f t="shared" si="9"/>
        <v>6.4910630291627469E-2</v>
      </c>
      <c r="E125" s="123">
        <v>31085204</v>
      </c>
      <c r="F125" s="219">
        <v>14496</v>
      </c>
      <c r="G125" s="93">
        <v>14200</v>
      </c>
      <c r="H125" s="93">
        <v>1063</v>
      </c>
      <c r="I125" s="93">
        <v>2260</v>
      </c>
      <c r="J125" s="93">
        <v>925</v>
      </c>
      <c r="K125" s="108">
        <f>(F125*138.66)*SUM(1,Macrogegevens!$C$4,0.5*Macrogegevens!$C$6,Macrogegevens!$C$8)</f>
        <v>2051622.6779520002</v>
      </c>
      <c r="L125" s="108">
        <f t="shared" si="15"/>
        <v>241787.00000000023</v>
      </c>
      <c r="M125" s="108">
        <v>2026815.072152328</v>
      </c>
      <c r="N125" s="108">
        <v>2203991.2675191341</v>
      </c>
      <c r="O125" s="108">
        <v>0</v>
      </c>
      <c r="P125" s="108">
        <f t="shared" si="10"/>
        <v>4230806.3396714618</v>
      </c>
      <c r="Q125" s="108">
        <v>31745515</v>
      </c>
      <c r="R125" s="155">
        <v>297.17692202274907</v>
      </c>
      <c r="S125" s="122">
        <v>0.14199999999999999</v>
      </c>
      <c r="T125" s="122">
        <v>0.249</v>
      </c>
      <c r="U125" s="122">
        <v>0.19900000000000001</v>
      </c>
      <c r="V125" s="122" t="s">
        <v>580</v>
      </c>
      <c r="W125" s="108">
        <v>1069600000</v>
      </c>
      <c r="X125" s="108">
        <v>164850000</v>
      </c>
      <c r="Y125" s="108">
        <v>192850000</v>
      </c>
      <c r="Z125" s="108">
        <f t="shared" si="11"/>
        <v>1518831.9999999998</v>
      </c>
      <c r="AA125" s="108">
        <f t="shared" si="12"/>
        <v>794248</v>
      </c>
      <c r="AB125" s="108">
        <f t="shared" si="13"/>
        <v>2554867</v>
      </c>
      <c r="AC125" s="108">
        <f t="shared" si="14"/>
        <v>241787.00000000023</v>
      </c>
    </row>
    <row r="126" spans="1:29" x14ac:dyDescent="0.2">
      <c r="A126" s="124" t="s">
        <v>280</v>
      </c>
      <c r="B126" s="99">
        <f t="shared" si="8"/>
        <v>-4.8001097167935265E-4</v>
      </c>
      <c r="C126" t="s">
        <v>228</v>
      </c>
      <c r="D126" s="99">
        <f t="shared" si="9"/>
        <v>7.3554665140240408E-2</v>
      </c>
      <c r="E126" s="123">
        <v>72309000</v>
      </c>
      <c r="F126" s="219">
        <v>24305</v>
      </c>
      <c r="G126" s="93">
        <v>24200</v>
      </c>
      <c r="H126" s="93">
        <v>1747</v>
      </c>
      <c r="I126" s="93">
        <v>3700</v>
      </c>
      <c r="J126" s="93">
        <v>1490</v>
      </c>
      <c r="K126" s="108">
        <f>(F126*138.66)*SUM(1,Macrogegevens!$C$4,0.5*Macrogegevens!$C$6,Macrogegevens!$C$8)</f>
        <v>3439893.0179100004</v>
      </c>
      <c r="L126" s="108">
        <f t="shared" si="15"/>
        <v>1148051.45</v>
      </c>
      <c r="M126" s="108">
        <v>4256306.8689751932</v>
      </c>
      <c r="N126" s="108">
        <v>2718897.1019579619</v>
      </c>
      <c r="O126" s="108">
        <v>0</v>
      </c>
      <c r="P126" s="108">
        <f t="shared" si="10"/>
        <v>6975203.9709331552</v>
      </c>
      <c r="Q126" s="108">
        <v>72429000</v>
      </c>
      <c r="R126" s="155">
        <v>3318.7535734705548</v>
      </c>
      <c r="S126" s="122">
        <v>0.1188</v>
      </c>
      <c r="T126" s="122">
        <v>0.17549999999999999</v>
      </c>
      <c r="U126" s="122">
        <v>0.14119999999999999</v>
      </c>
      <c r="V126" s="122" t="s">
        <v>280</v>
      </c>
      <c r="W126" s="108">
        <v>1637200000</v>
      </c>
      <c r="X126" s="108">
        <v>347550000</v>
      </c>
      <c r="Y126" s="108">
        <v>397600000</v>
      </c>
      <c r="Z126" s="108">
        <f t="shared" si="11"/>
        <v>1944993.6</v>
      </c>
      <c r="AA126" s="108">
        <f t="shared" si="12"/>
        <v>1171361.45</v>
      </c>
      <c r="AB126" s="108">
        <f t="shared" si="13"/>
        <v>4264406.5</v>
      </c>
      <c r="AC126" s="108">
        <f t="shared" si="14"/>
        <v>1148051.45</v>
      </c>
    </row>
    <row r="127" spans="1:29" x14ac:dyDescent="0.2">
      <c r="A127" s="124" t="s">
        <v>536</v>
      </c>
      <c r="B127" s="99">
        <f t="shared" si="8"/>
        <v>-1.1677308548841719E-2</v>
      </c>
      <c r="C127" t="s">
        <v>689</v>
      </c>
      <c r="D127" s="99">
        <f t="shared" si="9"/>
        <v>5.0513698630136987E-2</v>
      </c>
      <c r="E127" s="123">
        <v>24570119</v>
      </c>
      <c r="F127" s="219">
        <v>13521</v>
      </c>
      <c r="G127" s="93">
        <v>12100</v>
      </c>
      <c r="H127" s="93">
        <v>1168</v>
      </c>
      <c r="I127" s="93">
        <v>2515</v>
      </c>
      <c r="J127" s="93">
        <v>1050</v>
      </c>
      <c r="K127" s="108">
        <f>(F127*138.66)*SUM(1,Macrogegevens!$C$4,0.5*Macrogegevens!$C$6,Macrogegevens!$C$8)</f>
        <v>1913630.6725020001</v>
      </c>
      <c r="L127" s="108">
        <f t="shared" si="15"/>
        <v>920179.90000000026</v>
      </c>
      <c r="M127" s="108">
        <v>2846884.3977912418</v>
      </c>
      <c r="N127" s="108">
        <v>1272881.3145487211</v>
      </c>
      <c r="O127" s="108">
        <v>0</v>
      </c>
      <c r="P127" s="108">
        <f t="shared" si="10"/>
        <v>4119765.7123399628</v>
      </c>
      <c r="Q127" s="108">
        <v>25334942</v>
      </c>
      <c r="R127" s="155">
        <v>-1110.7522935779816</v>
      </c>
      <c r="S127" s="122">
        <v>0.11749999999999999</v>
      </c>
      <c r="T127" s="122">
        <v>0.1822</v>
      </c>
      <c r="U127" s="122">
        <v>0.13719999999999999</v>
      </c>
      <c r="V127" s="122" t="s">
        <v>536</v>
      </c>
      <c r="W127" s="108">
        <v>1365200000</v>
      </c>
      <c r="X127" s="108">
        <v>174650000</v>
      </c>
      <c r="Y127" s="108">
        <v>206150000</v>
      </c>
      <c r="Z127" s="108">
        <f t="shared" si="11"/>
        <v>1604109.9999999998</v>
      </c>
      <c r="AA127" s="108">
        <f t="shared" si="12"/>
        <v>601050.1</v>
      </c>
      <c r="AB127" s="108">
        <f t="shared" si="13"/>
        <v>3125340</v>
      </c>
      <c r="AC127" s="108">
        <f t="shared" si="14"/>
        <v>920179.90000000026</v>
      </c>
    </row>
    <row r="128" spans="1:29" x14ac:dyDescent="0.2">
      <c r="A128" s="124" t="s">
        <v>396</v>
      </c>
      <c r="B128" s="99">
        <f t="shared" ref="B128:B192" si="16">SUM(G128,-F128)/(F128*9)</f>
        <v>6.9790203838461214E-3</v>
      </c>
      <c r="C128" t="s">
        <v>621</v>
      </c>
      <c r="D128" s="99">
        <f t="shared" ref="D128:D192" si="17">SUM(H128,-J128)/(H128*2)</f>
        <v>4.5963122090941638E-2</v>
      </c>
      <c r="E128" s="123">
        <v>435088000</v>
      </c>
      <c r="F128" s="219">
        <v>156660</v>
      </c>
      <c r="G128" s="93">
        <v>166500</v>
      </c>
      <c r="H128" s="93">
        <v>11172</v>
      </c>
      <c r="I128" s="93">
        <v>25920</v>
      </c>
      <c r="J128" s="93">
        <v>10145</v>
      </c>
      <c r="K128" s="108">
        <f>(F128*138.66)*SUM(1,Macrogegevens!$C$4,0.5*Macrogegevens!$C$6,Macrogegevens!$C$8)</f>
        <v>22172130.844920002</v>
      </c>
      <c r="L128" s="108">
        <f t="shared" si="15"/>
        <v>5695820.4250000007</v>
      </c>
      <c r="M128" s="108">
        <v>31474796.502464037</v>
      </c>
      <c r="N128" s="108">
        <v>18097873.813375369</v>
      </c>
      <c r="O128" s="108">
        <v>37089336.847324528</v>
      </c>
      <c r="P128" s="108">
        <f t="shared" ref="P128:P192" si="18">SUM(M128,N128,O128)</f>
        <v>86662007.16316393</v>
      </c>
      <c r="Q128" s="108">
        <v>444790000</v>
      </c>
      <c r="R128" s="155">
        <v>3058.8518441759875</v>
      </c>
      <c r="S128" s="122">
        <v>0.11527</v>
      </c>
      <c r="T128" s="122">
        <v>0.25169000000000002</v>
      </c>
      <c r="U128" s="122">
        <v>0.20119999999999999</v>
      </c>
      <c r="V128" s="122" t="s">
        <v>396</v>
      </c>
      <c r="W128" s="108">
        <v>13222000000</v>
      </c>
      <c r="X128" s="108">
        <v>2864750000</v>
      </c>
      <c r="Y128" s="108">
        <v>2919700000</v>
      </c>
      <c r="Z128" s="108">
        <f t="shared" ref="Z128:Z192" si="19">S128/100*W128</f>
        <v>15240999.4</v>
      </c>
      <c r="AA128" s="108">
        <f t="shared" ref="AA128:AA192" si="20">SUM(T128/100*X128,U128/100*Y128)</f>
        <v>13084725.675000001</v>
      </c>
      <c r="AB128" s="108">
        <f t="shared" ref="AB128:AB192" si="21">(0.179/100)*SUM(W128,X128,Y128)</f>
        <v>34021545.5</v>
      </c>
      <c r="AC128" s="108">
        <f t="shared" ref="AC128:AC192" si="22">SUM(AB128,-Z128,-AA128)</f>
        <v>5695820.4250000007</v>
      </c>
    </row>
    <row r="129" spans="1:29" x14ac:dyDescent="0.2">
      <c r="A129" s="124" t="s">
        <v>616</v>
      </c>
      <c r="B129" s="99">
        <f t="shared" si="16"/>
        <v>-1.5411607552285822E-2</v>
      </c>
      <c r="C129" t="s">
        <v>689</v>
      </c>
      <c r="D129" s="99">
        <f t="shared" si="17"/>
        <v>6.1611374407582936E-2</v>
      </c>
      <c r="E129" s="123">
        <v>10309000</v>
      </c>
      <c r="F129" s="219">
        <v>5573</v>
      </c>
      <c r="G129" s="93">
        <v>4800</v>
      </c>
      <c r="H129" s="93">
        <v>422</v>
      </c>
      <c r="I129" s="93">
        <v>1040</v>
      </c>
      <c r="J129" s="93">
        <v>370</v>
      </c>
      <c r="K129" s="108">
        <f>(F129*138.66)*SUM(1,Macrogegevens!$C$4,0.5*Macrogegevens!$C$6,Macrogegevens!$C$8)</f>
        <v>788748.15012600005</v>
      </c>
      <c r="L129" s="108">
        <f t="shared" ref="L129:L193" si="23">IF(AC129&gt;0,AC129,0)</f>
        <v>339465.20000000007</v>
      </c>
      <c r="M129" s="108">
        <v>779661.29066754831</v>
      </c>
      <c r="N129" s="108">
        <v>414800.71803534572</v>
      </c>
      <c r="O129" s="108">
        <v>0</v>
      </c>
      <c r="P129" s="108">
        <f t="shared" si="18"/>
        <v>1194462.008702894</v>
      </c>
      <c r="Q129" s="108">
        <v>9863000</v>
      </c>
      <c r="R129" s="155">
        <v>-331.04853649499813</v>
      </c>
      <c r="S129" s="122">
        <v>0.1147</v>
      </c>
      <c r="T129" s="122">
        <v>0.19220000000000001</v>
      </c>
      <c r="U129" s="122">
        <v>0.14460000000000001</v>
      </c>
      <c r="V129" s="122" t="s">
        <v>397</v>
      </c>
      <c r="W129" s="108">
        <v>496800000</v>
      </c>
      <c r="X129" s="108">
        <v>88200000</v>
      </c>
      <c r="Y129" s="108">
        <v>92050000</v>
      </c>
      <c r="Z129" s="108">
        <f t="shared" si="19"/>
        <v>569829.6</v>
      </c>
      <c r="AA129" s="108">
        <f t="shared" si="20"/>
        <v>302624.69999999995</v>
      </c>
      <c r="AB129" s="108">
        <f t="shared" si="21"/>
        <v>1211919.5</v>
      </c>
      <c r="AC129" s="108">
        <f t="shared" si="22"/>
        <v>339465.20000000007</v>
      </c>
    </row>
    <row r="130" spans="1:29" x14ac:dyDescent="0.2">
      <c r="A130" s="124" t="s">
        <v>398</v>
      </c>
      <c r="B130" s="99">
        <f t="shared" si="16"/>
        <v>1.7969572407713092E-2</v>
      </c>
      <c r="C130" t="s">
        <v>689</v>
      </c>
      <c r="D130" s="99">
        <f t="shared" si="17"/>
        <v>2.9850084272154707E-2</v>
      </c>
      <c r="E130" s="123">
        <v>455989000</v>
      </c>
      <c r="F130" s="219">
        <v>144182</v>
      </c>
      <c r="G130" s="93">
        <v>167500</v>
      </c>
      <c r="H130" s="93">
        <v>11273</v>
      </c>
      <c r="I130" s="93">
        <v>28325</v>
      </c>
      <c r="J130" s="93">
        <v>10600</v>
      </c>
      <c r="K130" s="108">
        <f>(F130*138.66)*SUM(1,Macrogegevens!$C$4,0.5*Macrogegevens!$C$6,Macrogegevens!$C$8)</f>
        <v>20406116.235684004</v>
      </c>
      <c r="L130" s="108">
        <f t="shared" si="23"/>
        <v>0</v>
      </c>
      <c r="M130" s="108">
        <v>28836748.06013763</v>
      </c>
      <c r="N130" s="108">
        <v>13125948.443046961</v>
      </c>
      <c r="O130" s="108">
        <v>0</v>
      </c>
      <c r="P130" s="108">
        <f t="shared" si="18"/>
        <v>41962696.503184587</v>
      </c>
      <c r="Q130" s="108">
        <v>406812000</v>
      </c>
      <c r="R130" s="155">
        <v>1733.8922038266521</v>
      </c>
      <c r="S130" s="122">
        <v>0.10685</v>
      </c>
      <c r="T130" s="122">
        <v>0.29626000000000002</v>
      </c>
      <c r="U130" s="122">
        <v>0.25002999999999997</v>
      </c>
      <c r="V130" s="122" t="s">
        <v>398</v>
      </c>
      <c r="W130" s="108">
        <v>11574400000</v>
      </c>
      <c r="X130" s="108">
        <v>5531400000</v>
      </c>
      <c r="Y130" s="108">
        <v>5576550000</v>
      </c>
      <c r="Z130" s="108">
        <f t="shared" si="19"/>
        <v>12367246.4</v>
      </c>
      <c r="AA130" s="108">
        <f t="shared" si="20"/>
        <v>30330373.604999997</v>
      </c>
      <c r="AB130" s="108">
        <f t="shared" si="21"/>
        <v>40601406.5</v>
      </c>
      <c r="AC130" s="108">
        <f t="shared" si="22"/>
        <v>-2096213.5049999952</v>
      </c>
    </row>
    <row r="131" spans="1:29" x14ac:dyDescent="0.2">
      <c r="A131" s="124" t="s">
        <v>537</v>
      </c>
      <c r="B131" s="99">
        <f t="shared" si="16"/>
        <v>-4.1213655508088275E-3</v>
      </c>
      <c r="C131" t="s">
        <v>228</v>
      </c>
      <c r="D131" s="99">
        <f t="shared" si="17"/>
        <v>3.7744863831820352E-2</v>
      </c>
      <c r="E131" s="123">
        <v>84699000</v>
      </c>
      <c r="F131" s="219">
        <v>29494</v>
      </c>
      <c r="G131" s="93">
        <v>28400</v>
      </c>
      <c r="H131" s="93">
        <v>2093</v>
      </c>
      <c r="I131" s="93">
        <v>4890</v>
      </c>
      <c r="J131" s="93">
        <v>1935</v>
      </c>
      <c r="K131" s="108">
        <f>(F131*138.66)*SUM(1,Macrogegevens!$C$4,0.5*Macrogegevens!$C$6,Macrogegevens!$C$8)</f>
        <v>4174293.5474280007</v>
      </c>
      <c r="L131" s="108">
        <f t="shared" si="23"/>
        <v>1690973.1</v>
      </c>
      <c r="M131" s="108">
        <v>5196164.3239647998</v>
      </c>
      <c r="N131" s="108">
        <v>4380860.4469278241</v>
      </c>
      <c r="O131" s="108">
        <v>0</v>
      </c>
      <c r="P131" s="108">
        <f t="shared" si="18"/>
        <v>9577024.7708926238</v>
      </c>
      <c r="Q131" s="108">
        <v>84699000</v>
      </c>
      <c r="R131" s="155">
        <v>1306.9884947594824</v>
      </c>
      <c r="S131" s="122">
        <v>0.11</v>
      </c>
      <c r="T131" s="122">
        <v>0.18060000000000001</v>
      </c>
      <c r="U131" s="122">
        <v>0.16109999999999999</v>
      </c>
      <c r="V131" s="122" t="s">
        <v>537</v>
      </c>
      <c r="W131" s="108">
        <v>2330800000</v>
      </c>
      <c r="X131" s="108">
        <v>460600000</v>
      </c>
      <c r="Y131" s="108">
        <v>503299999.99999994</v>
      </c>
      <c r="Z131" s="108">
        <f t="shared" si="19"/>
        <v>2563880</v>
      </c>
      <c r="AA131" s="108">
        <f t="shared" si="20"/>
        <v>1642659.9</v>
      </c>
      <c r="AB131" s="108">
        <f t="shared" si="21"/>
        <v>5897513</v>
      </c>
      <c r="AC131" s="108">
        <f t="shared" si="22"/>
        <v>1690973.1</v>
      </c>
    </row>
    <row r="132" spans="1:29" x14ac:dyDescent="0.2">
      <c r="A132" s="124" t="s">
        <v>281</v>
      </c>
      <c r="B132" s="99">
        <f t="shared" si="16"/>
        <v>7.9828704014563146E-4</v>
      </c>
      <c r="C132" t="s">
        <v>228</v>
      </c>
      <c r="D132" s="99">
        <f t="shared" si="17"/>
        <v>5.3072625698324022E-2</v>
      </c>
      <c r="E132" s="123">
        <v>180379000</v>
      </c>
      <c r="F132" s="219">
        <v>59572</v>
      </c>
      <c r="G132" s="93">
        <v>60000</v>
      </c>
      <c r="H132" s="93">
        <v>3938</v>
      </c>
      <c r="I132" s="93">
        <v>8325</v>
      </c>
      <c r="J132" s="93">
        <v>3520</v>
      </c>
      <c r="K132" s="108">
        <f>(F132*138.66)*SUM(1,Macrogegevens!$C$4,0.5*Macrogegevens!$C$6,Macrogegevens!$C$8)</f>
        <v>8431240.7678640001</v>
      </c>
      <c r="L132" s="108">
        <f t="shared" si="23"/>
        <v>2089602.9</v>
      </c>
      <c r="M132" s="108">
        <v>15371479.859023461</v>
      </c>
      <c r="N132" s="108">
        <v>9287561.4530527201</v>
      </c>
      <c r="O132" s="108">
        <v>0</v>
      </c>
      <c r="P132" s="108">
        <f t="shared" si="18"/>
        <v>24659041.312076181</v>
      </c>
      <c r="Q132" s="108">
        <v>184341000</v>
      </c>
      <c r="R132" s="155">
        <v>2004.4735147592096</v>
      </c>
      <c r="S132" s="122">
        <v>9.7299999999999998E-2</v>
      </c>
      <c r="T132" s="122">
        <v>0.25690000000000002</v>
      </c>
      <c r="U132" s="122">
        <v>0.20680000000000001</v>
      </c>
      <c r="V132" s="122" t="s">
        <v>281</v>
      </c>
      <c r="W132" s="108">
        <v>3556000000</v>
      </c>
      <c r="X132" s="108">
        <v>750400000</v>
      </c>
      <c r="Y132" s="108">
        <v>831250000</v>
      </c>
      <c r="Z132" s="108">
        <f t="shared" si="19"/>
        <v>3459988</v>
      </c>
      <c r="AA132" s="108">
        <f t="shared" si="20"/>
        <v>3646802.6</v>
      </c>
      <c r="AB132" s="108">
        <f t="shared" si="21"/>
        <v>9196393.5</v>
      </c>
      <c r="AC132" s="108">
        <f t="shared" si="22"/>
        <v>2089602.9</v>
      </c>
    </row>
    <row r="133" spans="1:29" x14ac:dyDescent="0.2">
      <c r="A133" s="124" t="s">
        <v>318</v>
      </c>
      <c r="B133" s="99">
        <f t="shared" si="16"/>
        <v>2.7755316126494307E-3</v>
      </c>
      <c r="C133" t="s">
        <v>621</v>
      </c>
      <c r="D133" s="99">
        <f t="shared" si="17"/>
        <v>3.3854166666666664E-2</v>
      </c>
      <c r="E133" s="123">
        <v>126554000</v>
      </c>
      <c r="F133" s="219">
        <v>45757</v>
      </c>
      <c r="G133" s="93">
        <v>46900</v>
      </c>
      <c r="H133" s="93">
        <v>2880</v>
      </c>
      <c r="I133" s="93">
        <v>6665</v>
      </c>
      <c r="J133" s="93">
        <v>2685</v>
      </c>
      <c r="K133" s="108">
        <f>(F133*138.66)*SUM(1,Macrogegevens!$C$4,0.5*Macrogegevens!$C$6,Macrogegevens!$C$8)</f>
        <v>6476000.198334001</v>
      </c>
      <c r="L133" s="108">
        <f t="shared" si="23"/>
        <v>1675828.335</v>
      </c>
      <c r="M133" s="108">
        <v>10317194.660288647</v>
      </c>
      <c r="N133" s="108">
        <v>6323153.006320484</v>
      </c>
      <c r="O133" s="108">
        <v>0</v>
      </c>
      <c r="P133" s="108">
        <f t="shared" si="18"/>
        <v>16640347.666609131</v>
      </c>
      <c r="Q133" s="108">
        <v>132191000</v>
      </c>
      <c r="R133" s="155">
        <v>-346.51215632810727</v>
      </c>
      <c r="S133" s="122">
        <v>0.12113</v>
      </c>
      <c r="T133" s="122">
        <v>0.22739000000000001</v>
      </c>
      <c r="U133" s="122">
        <v>0.18254000000000001</v>
      </c>
      <c r="V133" s="122" t="s">
        <v>318</v>
      </c>
      <c r="W133" s="108">
        <v>3384400000</v>
      </c>
      <c r="X133" s="108">
        <v>543550000</v>
      </c>
      <c r="Y133" s="108">
        <v>556500000</v>
      </c>
      <c r="Z133" s="108">
        <f t="shared" si="19"/>
        <v>4099523.72</v>
      </c>
      <c r="AA133" s="108">
        <f t="shared" si="20"/>
        <v>2251813.4449999998</v>
      </c>
      <c r="AB133" s="108">
        <f t="shared" si="21"/>
        <v>8027165.5</v>
      </c>
      <c r="AC133" s="108">
        <f t="shared" si="22"/>
        <v>1675828.335</v>
      </c>
    </row>
    <row r="134" spans="1:29" s="127" customFormat="1" x14ac:dyDescent="0.2">
      <c r="A134" s="124" t="s">
        <v>449</v>
      </c>
      <c r="B134" s="99">
        <f t="shared" si="16"/>
        <v>7.4639906138445795E-3</v>
      </c>
      <c r="C134" t="s">
        <v>689</v>
      </c>
      <c r="D134" s="99">
        <f t="shared" si="17"/>
        <v>8.3333333333333332E-3</v>
      </c>
      <c r="E134" s="123">
        <v>33716297</v>
      </c>
      <c r="F134" s="219">
        <v>17804</v>
      </c>
      <c r="G134" s="126">
        <v>19000</v>
      </c>
      <c r="H134" s="93">
        <v>1200</v>
      </c>
      <c r="I134" s="126">
        <v>3135</v>
      </c>
      <c r="J134" s="93">
        <v>1180</v>
      </c>
      <c r="K134" s="108">
        <f>(F134*138.66)*SUM(1,Macrogegevens!$C$4,0.5*Macrogegevens!$C$6,Macrogegevens!$C$8)</f>
        <v>2519804.7846480007</v>
      </c>
      <c r="L134" s="128">
        <f t="shared" si="23"/>
        <v>639909.59999999986</v>
      </c>
      <c r="M134" s="128">
        <v>3411748.147586253</v>
      </c>
      <c r="N134" s="128">
        <v>2046832.0693691899</v>
      </c>
      <c r="O134" s="128">
        <v>0</v>
      </c>
      <c r="P134" s="108">
        <f t="shared" si="18"/>
        <v>5458580.2169554429</v>
      </c>
      <c r="Q134" s="108">
        <v>35256166</v>
      </c>
      <c r="R134" s="155">
        <v>2081.6711436246214</v>
      </c>
      <c r="S134" s="129">
        <v>0.1333</v>
      </c>
      <c r="T134" s="129">
        <v>0.19</v>
      </c>
      <c r="U134" s="129">
        <v>0.13980000000000001</v>
      </c>
      <c r="V134" s="129" t="s">
        <v>449</v>
      </c>
      <c r="W134" s="128">
        <v>1211200000</v>
      </c>
      <c r="X134" s="128">
        <v>301000000</v>
      </c>
      <c r="Y134" s="128">
        <v>304850000</v>
      </c>
      <c r="Z134" s="108">
        <f t="shared" si="19"/>
        <v>1614529.6</v>
      </c>
      <c r="AA134" s="108">
        <f t="shared" si="20"/>
        <v>998080.3</v>
      </c>
      <c r="AB134" s="108">
        <f t="shared" si="21"/>
        <v>3252519.5</v>
      </c>
      <c r="AC134" s="108">
        <f t="shared" si="22"/>
        <v>639909.59999999986</v>
      </c>
    </row>
    <row r="135" spans="1:29" x14ac:dyDescent="0.2">
      <c r="A135" s="124" t="s">
        <v>237</v>
      </c>
      <c r="B135" s="99">
        <f t="shared" si="16"/>
        <v>-1.2513438728211637E-3</v>
      </c>
      <c r="C135" t="s">
        <v>689</v>
      </c>
      <c r="D135" s="99">
        <f t="shared" si="17"/>
        <v>5.8359621451104099E-2</v>
      </c>
      <c r="E135" s="123">
        <v>42509000</v>
      </c>
      <c r="F135" s="219">
        <v>18913</v>
      </c>
      <c r="G135" s="93">
        <v>18700</v>
      </c>
      <c r="H135" s="93">
        <v>1268</v>
      </c>
      <c r="I135" s="93">
        <v>2705</v>
      </c>
      <c r="J135" s="93">
        <v>1120</v>
      </c>
      <c r="K135" s="108">
        <f>(F135*138.66)*SUM(1,Macrogegevens!$C$4,0.5*Macrogegevens!$C$6,Macrogegevens!$C$8)</f>
        <v>2676761.8452060004</v>
      </c>
      <c r="L135" s="108">
        <f t="shared" si="23"/>
        <v>753505.29999999981</v>
      </c>
      <c r="M135" s="108">
        <v>3404129.1539433761</v>
      </c>
      <c r="N135" s="108">
        <v>2379241.7770107756</v>
      </c>
      <c r="O135" s="108">
        <v>0</v>
      </c>
      <c r="P135" s="108">
        <f t="shared" si="18"/>
        <v>5783370.9309541518</v>
      </c>
      <c r="Q135" s="108">
        <v>43491000</v>
      </c>
      <c r="R135" s="155">
        <v>3663.4262259667316</v>
      </c>
      <c r="S135" s="122">
        <v>0.13739999999999999</v>
      </c>
      <c r="T135" s="122">
        <v>0.19800000000000001</v>
      </c>
      <c r="U135" s="122">
        <v>0.15859999999999999</v>
      </c>
      <c r="V135" s="122" t="s">
        <v>237</v>
      </c>
      <c r="W135" s="108">
        <v>1798800000</v>
      </c>
      <c r="X135" s="108">
        <v>218750000</v>
      </c>
      <c r="Y135" s="108">
        <v>229250000</v>
      </c>
      <c r="Z135" s="108">
        <f t="shared" si="19"/>
        <v>2471551.2000000002</v>
      </c>
      <c r="AA135" s="108">
        <f t="shared" si="20"/>
        <v>796715.5</v>
      </c>
      <c r="AB135" s="108">
        <f t="shared" si="21"/>
        <v>4021772</v>
      </c>
      <c r="AC135" s="108">
        <f t="shared" si="22"/>
        <v>753505.29999999981</v>
      </c>
    </row>
    <row r="136" spans="1:29" s="127" customFormat="1" x14ac:dyDescent="0.2">
      <c r="A136" s="124" t="s">
        <v>259</v>
      </c>
      <c r="B136" s="99">
        <f t="shared" si="16"/>
        <v>2.1957604932016004E-3</v>
      </c>
      <c r="C136" t="s">
        <v>621</v>
      </c>
      <c r="D136" s="99">
        <f t="shared" si="17"/>
        <v>1.2867647058823529E-2</v>
      </c>
      <c r="E136" s="123">
        <v>49517000</v>
      </c>
      <c r="F136" s="219">
        <v>15788</v>
      </c>
      <c r="G136" s="126">
        <v>16100.000000000002</v>
      </c>
      <c r="H136" s="93">
        <v>1088</v>
      </c>
      <c r="I136" s="126">
        <v>2850</v>
      </c>
      <c r="J136" s="93">
        <v>1060</v>
      </c>
      <c r="K136" s="108">
        <f>(F136*138.66)*SUM(1,Macrogegevens!$C$4,0.5*Macrogegevens!$C$6,Macrogegevens!$C$8)</f>
        <v>2234479.7764560003</v>
      </c>
      <c r="L136" s="128">
        <f t="shared" si="23"/>
        <v>0</v>
      </c>
      <c r="M136" s="128">
        <v>4316457.6774537172</v>
      </c>
      <c r="N136" s="128">
        <v>2686398.7197402394</v>
      </c>
      <c r="O136" s="128">
        <v>0</v>
      </c>
      <c r="P136" s="108">
        <f t="shared" si="18"/>
        <v>7002856.3971939571</v>
      </c>
      <c r="Q136" s="108">
        <v>51066000</v>
      </c>
      <c r="R136" s="155">
        <v>64.709975330507945</v>
      </c>
      <c r="S136" s="129" t="s">
        <v>632</v>
      </c>
      <c r="T136" s="129" t="s">
        <v>632</v>
      </c>
      <c r="U136" s="129" t="s">
        <v>632</v>
      </c>
      <c r="V136" s="129" t="s">
        <v>259</v>
      </c>
      <c r="W136" s="128">
        <v>884800000</v>
      </c>
      <c r="X136" s="128">
        <v>327950000</v>
      </c>
      <c r="Y136" s="128">
        <v>344050000</v>
      </c>
      <c r="Z136" s="108" t="e">
        <f t="shared" si="19"/>
        <v>#VALUE!</v>
      </c>
      <c r="AA136" s="108" t="e">
        <f t="shared" si="20"/>
        <v>#VALUE!</v>
      </c>
      <c r="AB136" s="108">
        <f t="shared" si="21"/>
        <v>2786672</v>
      </c>
      <c r="AC136" s="108">
        <v>0</v>
      </c>
    </row>
    <row r="137" spans="1:29" x14ac:dyDescent="0.2">
      <c r="A137" s="124" t="s">
        <v>319</v>
      </c>
      <c r="B137" s="99">
        <f t="shared" si="16"/>
        <v>-6.759361104060317E-3</v>
      </c>
      <c r="C137" t="s">
        <v>689</v>
      </c>
      <c r="D137" s="99">
        <f t="shared" si="17"/>
        <v>4.264099037138927E-2</v>
      </c>
      <c r="E137" s="123">
        <v>20767000</v>
      </c>
      <c r="F137" s="219">
        <v>11819</v>
      </c>
      <c r="G137" s="93">
        <v>11100</v>
      </c>
      <c r="H137" s="93">
        <v>727</v>
      </c>
      <c r="I137" s="93">
        <v>1685</v>
      </c>
      <c r="J137" s="93">
        <v>665</v>
      </c>
      <c r="K137" s="108">
        <f>(F137*138.66)*SUM(1,Macrogegevens!$C$4,0.5*Macrogegevens!$C$6,Macrogegevens!$C$8)</f>
        <v>1672746.1665780004</v>
      </c>
      <c r="L137" s="108">
        <f t="shared" si="23"/>
        <v>432242.5</v>
      </c>
      <c r="M137" s="108">
        <v>2570599.9775665519</v>
      </c>
      <c r="N137" s="108">
        <v>1519731.97274051</v>
      </c>
      <c r="O137" s="108">
        <v>0</v>
      </c>
      <c r="P137" s="108">
        <f t="shared" si="18"/>
        <v>4090331.9503070619</v>
      </c>
      <c r="Q137" s="108">
        <v>21264000</v>
      </c>
      <c r="R137" s="155">
        <v>1142.4694708276797</v>
      </c>
      <c r="S137" s="122">
        <v>0.13650000000000001</v>
      </c>
      <c r="T137" s="122">
        <v>0.20300000000000001</v>
      </c>
      <c r="U137" s="122">
        <v>0.14430000000000001</v>
      </c>
      <c r="V137" s="122" t="s">
        <v>319</v>
      </c>
      <c r="W137" s="108">
        <v>984800000</v>
      </c>
      <c r="X137" s="108">
        <v>109900000</v>
      </c>
      <c r="Y137" s="108">
        <v>115500000</v>
      </c>
      <c r="Z137" s="108">
        <f t="shared" si="19"/>
        <v>1344252</v>
      </c>
      <c r="AA137" s="108">
        <f t="shared" si="20"/>
        <v>389763.5</v>
      </c>
      <c r="AB137" s="108">
        <f t="shared" si="21"/>
        <v>2166258</v>
      </c>
      <c r="AC137" s="108">
        <f t="shared" si="22"/>
        <v>432242.5</v>
      </c>
    </row>
    <row r="138" spans="1:29" x14ac:dyDescent="0.2">
      <c r="A138" s="124" t="s">
        <v>399</v>
      </c>
      <c r="B138" s="99">
        <f t="shared" si="16"/>
        <v>1.3087258801252515E-3</v>
      </c>
      <c r="C138" t="s">
        <v>228</v>
      </c>
      <c r="D138" s="99">
        <f t="shared" si="17"/>
        <v>2.9792746113989636E-2</v>
      </c>
      <c r="E138" s="123">
        <v>81254096</v>
      </c>
      <c r="F138" s="219">
        <v>39139</v>
      </c>
      <c r="G138" s="93">
        <v>39600</v>
      </c>
      <c r="H138" s="93">
        <v>1930</v>
      </c>
      <c r="I138" s="93">
        <v>4520</v>
      </c>
      <c r="J138" s="93">
        <v>1815</v>
      </c>
      <c r="K138" s="108">
        <f>(F138*138.66)*SUM(1,Macrogegevens!$C$4,0.5*Macrogegevens!$C$6,Macrogegevens!$C$8)</f>
        <v>5539352.9244180014</v>
      </c>
      <c r="L138" s="108">
        <f t="shared" si="23"/>
        <v>2214419.1</v>
      </c>
      <c r="M138" s="108">
        <v>8899394.2871210594</v>
      </c>
      <c r="N138" s="108">
        <v>3908960.7041207161</v>
      </c>
      <c r="O138" s="108">
        <v>0</v>
      </c>
      <c r="P138" s="108">
        <f t="shared" si="18"/>
        <v>12808354.991241775</v>
      </c>
      <c r="Q138" s="108">
        <v>83255754</v>
      </c>
      <c r="R138" s="155">
        <v>578.97446457990111</v>
      </c>
      <c r="S138" s="122">
        <v>0.1116</v>
      </c>
      <c r="T138" s="122">
        <v>0.15359999999999999</v>
      </c>
      <c r="U138" s="122">
        <v>0.12959999999999999</v>
      </c>
      <c r="V138" s="122" t="s">
        <v>399</v>
      </c>
      <c r="W138" s="108">
        <v>2914400000</v>
      </c>
      <c r="X138" s="108">
        <v>323050000</v>
      </c>
      <c r="Y138" s="108">
        <v>340200000</v>
      </c>
      <c r="Z138" s="108">
        <f t="shared" si="19"/>
        <v>3252470.4</v>
      </c>
      <c r="AA138" s="108">
        <f t="shared" si="20"/>
        <v>937103.99999999988</v>
      </c>
      <c r="AB138" s="108">
        <f t="shared" si="21"/>
        <v>6403993.5</v>
      </c>
      <c r="AC138" s="108">
        <f t="shared" si="22"/>
        <v>2214419.1</v>
      </c>
    </row>
    <row r="139" spans="1:29" x14ac:dyDescent="0.2">
      <c r="A139" s="124" t="s">
        <v>400</v>
      </c>
      <c r="B139" s="99">
        <f t="shared" si="16"/>
        <v>1.3853729801891664E-4</v>
      </c>
      <c r="C139" t="s">
        <v>689</v>
      </c>
      <c r="D139" s="99">
        <f t="shared" si="17"/>
        <v>4.6016823354774861E-2</v>
      </c>
      <c r="E139" s="123">
        <v>43015210</v>
      </c>
      <c r="F139" s="219">
        <v>26467</v>
      </c>
      <c r="G139" s="93">
        <v>26500</v>
      </c>
      <c r="H139" s="93">
        <v>2021</v>
      </c>
      <c r="I139" s="93">
        <v>5030</v>
      </c>
      <c r="J139" s="93">
        <v>1835</v>
      </c>
      <c r="K139" s="108">
        <f>(F139*138.66)*SUM(1,Macrogegevens!$C$4,0.5*Macrogegevens!$C$6,Macrogegevens!$C$8)</f>
        <v>3745881.4443540005</v>
      </c>
      <c r="L139" s="108">
        <f t="shared" si="23"/>
        <v>2766591.3</v>
      </c>
      <c r="M139" s="108">
        <v>3208421.7682417771</v>
      </c>
      <c r="N139" s="108">
        <v>3118593.505008975</v>
      </c>
      <c r="O139" s="108">
        <v>0</v>
      </c>
      <c r="P139" s="108">
        <f t="shared" si="18"/>
        <v>6327015.2732507521</v>
      </c>
      <c r="Q139" s="108">
        <v>43498930</v>
      </c>
      <c r="R139" s="155">
        <v>1260.6109448154118</v>
      </c>
      <c r="S139" s="122">
        <v>0.1033</v>
      </c>
      <c r="T139" s="122">
        <v>0.17860000000000001</v>
      </c>
      <c r="U139" s="122">
        <v>0.14319999999999999</v>
      </c>
      <c r="V139" s="122" t="s">
        <v>400</v>
      </c>
      <c r="W139" s="108">
        <v>3510000000</v>
      </c>
      <c r="X139" s="108">
        <v>284200000</v>
      </c>
      <c r="Y139" s="108">
        <v>302750000</v>
      </c>
      <c r="Z139" s="108">
        <f t="shared" si="19"/>
        <v>3625830</v>
      </c>
      <c r="AA139" s="108">
        <f t="shared" si="20"/>
        <v>941119.2</v>
      </c>
      <c r="AB139" s="108">
        <f t="shared" si="21"/>
        <v>7333540.5</v>
      </c>
      <c r="AC139" s="108">
        <f t="shared" si="22"/>
        <v>2766591.3</v>
      </c>
    </row>
    <row r="140" spans="1:29" x14ac:dyDescent="0.2">
      <c r="A140" s="124" t="s">
        <v>320</v>
      </c>
      <c r="B140" s="99">
        <f t="shared" si="16"/>
        <v>-1.0302844833276328E-2</v>
      </c>
      <c r="C140" t="s">
        <v>689</v>
      </c>
      <c r="D140" s="99">
        <f t="shared" si="17"/>
        <v>5.4950045413260672E-2</v>
      </c>
      <c r="E140" s="123">
        <v>35196502</v>
      </c>
      <c r="F140" s="219">
        <v>18517</v>
      </c>
      <c r="G140" s="93">
        <v>16800</v>
      </c>
      <c r="H140" s="93">
        <v>1101</v>
      </c>
      <c r="I140" s="93">
        <v>2360</v>
      </c>
      <c r="J140" s="93">
        <v>980</v>
      </c>
      <c r="K140" s="108">
        <f>(F140*138.66)*SUM(1,Macrogegevens!$C$4,0.5*Macrogegevens!$C$6,Macrogegevens!$C$8)</f>
        <v>2620715.8614540002</v>
      </c>
      <c r="L140" s="108">
        <f t="shared" si="23"/>
        <v>490074.60000000021</v>
      </c>
      <c r="M140" s="108">
        <v>3211002.9045546991</v>
      </c>
      <c r="N140" s="108">
        <v>3188725.7074682456</v>
      </c>
      <c r="O140" s="108">
        <v>0</v>
      </c>
      <c r="P140" s="108">
        <f t="shared" si="18"/>
        <v>6399728.6120229447</v>
      </c>
      <c r="Q140" s="108">
        <v>35924162</v>
      </c>
      <c r="R140" s="155">
        <v>999.34472778900238</v>
      </c>
      <c r="S140" s="122">
        <v>0.15179999999999999</v>
      </c>
      <c r="T140" s="122">
        <v>0.17929999999999999</v>
      </c>
      <c r="U140" s="122">
        <v>0.1429</v>
      </c>
      <c r="V140" s="122" t="s">
        <v>320</v>
      </c>
      <c r="W140" s="108">
        <v>1525600000</v>
      </c>
      <c r="X140" s="108">
        <v>190750000</v>
      </c>
      <c r="Y140" s="108">
        <v>209650000</v>
      </c>
      <c r="Z140" s="108">
        <f t="shared" si="19"/>
        <v>2315860.7999999998</v>
      </c>
      <c r="AA140" s="108">
        <f t="shared" si="20"/>
        <v>641604.6</v>
      </c>
      <c r="AB140" s="108">
        <f t="shared" si="21"/>
        <v>3447540</v>
      </c>
      <c r="AC140" s="108">
        <f t="shared" si="22"/>
        <v>490074.60000000021</v>
      </c>
    </row>
    <row r="141" spans="1:29" x14ac:dyDescent="0.2">
      <c r="A141" s="124" t="s">
        <v>260</v>
      </c>
      <c r="B141" s="99">
        <f t="shared" si="16"/>
        <v>2.9175056987725211E-3</v>
      </c>
      <c r="C141" t="s">
        <v>621</v>
      </c>
      <c r="D141" s="99">
        <f t="shared" si="17"/>
        <v>3.4250501576382916E-2</v>
      </c>
      <c r="E141" s="123">
        <v>150107500</v>
      </c>
      <c r="F141" s="219">
        <v>50157</v>
      </c>
      <c r="G141" s="93">
        <v>51474</v>
      </c>
      <c r="H141" s="93">
        <v>3489</v>
      </c>
      <c r="I141" s="93">
        <v>6945</v>
      </c>
      <c r="J141" s="93">
        <v>3250</v>
      </c>
      <c r="K141" s="108">
        <f>(F141*138.66)*SUM(1,Macrogegevens!$C$4,0.5*Macrogegevens!$C$6,Macrogegevens!$C$8)</f>
        <v>7098733.3511340013</v>
      </c>
      <c r="L141" s="108">
        <f t="shared" si="23"/>
        <v>0</v>
      </c>
      <c r="M141" s="108">
        <v>9874827.6208852306</v>
      </c>
      <c r="N141" s="108">
        <v>9108576.3691554852</v>
      </c>
      <c r="O141" s="108">
        <v>0</v>
      </c>
      <c r="P141" s="108">
        <f t="shared" si="18"/>
        <v>18983403.990040716</v>
      </c>
      <c r="Q141" s="108">
        <v>149984665</v>
      </c>
      <c r="R141" s="155">
        <v>3945</v>
      </c>
      <c r="S141" s="122">
        <v>0.15989999999999999</v>
      </c>
      <c r="T141" s="122">
        <v>0.30280000000000001</v>
      </c>
      <c r="U141" s="122">
        <v>0.24329999999999999</v>
      </c>
      <c r="V141" s="122" t="s">
        <v>260</v>
      </c>
      <c r="W141" s="108">
        <v>3454368000</v>
      </c>
      <c r="X141" s="108">
        <v>797156500</v>
      </c>
      <c r="Y141" s="108">
        <v>843174500</v>
      </c>
      <c r="Z141" s="108">
        <f t="shared" si="19"/>
        <v>5523534.432</v>
      </c>
      <c r="AA141" s="108">
        <f t="shared" si="20"/>
        <v>4465233.4405000005</v>
      </c>
      <c r="AB141" s="108">
        <f t="shared" si="21"/>
        <v>9119511.209999999</v>
      </c>
      <c r="AC141" s="108">
        <f t="shared" si="22"/>
        <v>-869256.66250000149</v>
      </c>
    </row>
    <row r="142" spans="1:29" x14ac:dyDescent="0.2">
      <c r="A142" s="124" t="s">
        <v>401</v>
      </c>
      <c r="B142" s="99">
        <f t="shared" si="16"/>
        <v>1.1105301162819652E-2</v>
      </c>
      <c r="C142" t="s">
        <v>228</v>
      </c>
      <c r="D142" s="99">
        <f t="shared" si="17"/>
        <v>2.1311475409836064E-2</v>
      </c>
      <c r="E142" s="123">
        <v>134301000</v>
      </c>
      <c r="F142" s="219">
        <v>53548</v>
      </c>
      <c r="G142" s="93">
        <v>58900</v>
      </c>
      <c r="H142" s="93">
        <v>3050</v>
      </c>
      <c r="I142" s="93">
        <v>7135</v>
      </c>
      <c r="J142" s="93">
        <v>2920</v>
      </c>
      <c r="K142" s="108">
        <f>(F142*138.66)*SUM(1,Macrogegevens!$C$4,0.5*Macrogegevens!$C$6,Macrogegevens!$C$8)</f>
        <v>7578662.4695760012</v>
      </c>
      <c r="L142" s="108">
        <f t="shared" si="23"/>
        <v>1399067.3400000008</v>
      </c>
      <c r="M142" s="108">
        <v>17109706.047575913</v>
      </c>
      <c r="N142" s="108">
        <v>6201070.8188576419</v>
      </c>
      <c r="O142" s="108">
        <v>0</v>
      </c>
      <c r="P142" s="108">
        <f t="shared" si="18"/>
        <v>23310776.866433553</v>
      </c>
      <c r="Q142" s="108">
        <v>149196000</v>
      </c>
      <c r="R142" s="155">
        <v>1419.0081675720037</v>
      </c>
      <c r="S142" s="122">
        <v>0.11501</v>
      </c>
      <c r="T142" s="122">
        <v>0.25778000000000001</v>
      </c>
      <c r="U142" s="122">
        <v>0.20566000000000001</v>
      </c>
      <c r="V142" s="122" t="s">
        <v>401</v>
      </c>
      <c r="W142" s="108">
        <v>3557600000</v>
      </c>
      <c r="X142" s="108">
        <v>828100000</v>
      </c>
      <c r="Y142" s="108">
        <v>844200000</v>
      </c>
      <c r="Z142" s="108">
        <f t="shared" si="19"/>
        <v>4091595.7600000002</v>
      </c>
      <c r="AA142" s="108">
        <f t="shared" si="20"/>
        <v>3870857.8999999994</v>
      </c>
      <c r="AB142" s="108">
        <f t="shared" si="21"/>
        <v>9361521</v>
      </c>
      <c r="AC142" s="108">
        <f t="shared" si="22"/>
        <v>1399067.3400000008</v>
      </c>
    </row>
    <row r="143" spans="1:29" x14ac:dyDescent="0.2">
      <c r="A143" s="124" t="s">
        <v>581</v>
      </c>
      <c r="B143" s="99">
        <f t="shared" si="16"/>
        <v>-2.4383181700422135E-4</v>
      </c>
      <c r="C143" t="s">
        <v>621</v>
      </c>
      <c r="D143" s="99">
        <f t="shared" si="17"/>
        <v>1.3632162661737524E-2</v>
      </c>
      <c r="E143" s="123">
        <v>340423000</v>
      </c>
      <c r="F143" s="219">
        <v>87492</v>
      </c>
      <c r="G143" s="93">
        <v>87300</v>
      </c>
      <c r="H143" s="93">
        <v>4328</v>
      </c>
      <c r="I143" s="93">
        <v>10170</v>
      </c>
      <c r="J143" s="93">
        <v>4210</v>
      </c>
      <c r="K143" s="108">
        <f>(F143*138.66)*SUM(1,Macrogegevens!$C$4,0.5*Macrogegevens!$C$6,Macrogegevens!$C$8)</f>
        <v>12382765.682904001</v>
      </c>
      <c r="L143" s="108">
        <f t="shared" si="23"/>
        <v>0</v>
      </c>
      <c r="M143" s="108">
        <v>28657824.612709071</v>
      </c>
      <c r="N143" s="108">
        <v>22319840.025130648</v>
      </c>
      <c r="O143" s="108">
        <v>31600612.208919939</v>
      </c>
      <c r="P143" s="108">
        <f t="shared" si="18"/>
        <v>82578276.846759662</v>
      </c>
      <c r="Q143" s="108">
        <v>344735000</v>
      </c>
      <c r="R143" s="155">
        <v>1329.5418889237528</v>
      </c>
      <c r="S143" s="122">
        <v>0.17752799999999999</v>
      </c>
      <c r="T143" s="122">
        <v>0.23718500000000001</v>
      </c>
      <c r="U143" s="122">
        <v>0.17647199999999999</v>
      </c>
      <c r="V143" s="122" t="s">
        <v>581</v>
      </c>
      <c r="W143" s="108">
        <v>4509200000</v>
      </c>
      <c r="X143" s="108">
        <v>1623300000</v>
      </c>
      <c r="Y143" s="108">
        <v>1667400000</v>
      </c>
      <c r="Z143" s="108">
        <f t="shared" si="19"/>
        <v>8005092.5759999994</v>
      </c>
      <c r="AA143" s="108">
        <f t="shared" si="20"/>
        <v>6792718.233</v>
      </c>
      <c r="AB143" s="108">
        <f t="shared" si="21"/>
        <v>13961821</v>
      </c>
      <c r="AC143" s="108">
        <f t="shared" si="22"/>
        <v>-835989.80899999943</v>
      </c>
    </row>
    <row r="144" spans="1:29" x14ac:dyDescent="0.2">
      <c r="A144" s="124" t="s">
        <v>538</v>
      </c>
      <c r="B144" s="99">
        <f t="shared" si="16"/>
        <v>-7.6918104841316014E-3</v>
      </c>
      <c r="C144" t="s">
        <v>689</v>
      </c>
      <c r="D144" s="99">
        <f t="shared" si="17"/>
        <v>6.985294117647059E-2</v>
      </c>
      <c r="E144" s="123">
        <v>25682871</v>
      </c>
      <c r="F144" s="219">
        <v>15471</v>
      </c>
      <c r="G144" s="93">
        <v>14400</v>
      </c>
      <c r="H144" s="93">
        <v>1360</v>
      </c>
      <c r="I144" s="93">
        <v>3030</v>
      </c>
      <c r="J144" s="93">
        <v>1170</v>
      </c>
      <c r="K144" s="108">
        <f>(F144*138.66)*SUM(1,Macrogegevens!$C$4,0.5*Macrogegevens!$C$6,Macrogegevens!$C$8)</f>
        <v>2189614.683402</v>
      </c>
      <c r="L144" s="108">
        <f t="shared" si="23"/>
        <v>1220457.0000000002</v>
      </c>
      <c r="M144" s="108">
        <v>2217031.8740856787</v>
      </c>
      <c r="N144" s="108">
        <v>1536994.1345642556</v>
      </c>
      <c r="O144" s="108">
        <v>0</v>
      </c>
      <c r="P144" s="108">
        <f t="shared" si="18"/>
        <v>3754026.0086499341</v>
      </c>
      <c r="Q144" s="108">
        <v>25984563</v>
      </c>
      <c r="R144" s="155">
        <v>780.73394495412845</v>
      </c>
      <c r="S144" s="122">
        <v>0.1133</v>
      </c>
      <c r="T144" s="122">
        <v>0.15859999999999999</v>
      </c>
      <c r="U144" s="122">
        <v>0.13139999999999999</v>
      </c>
      <c r="V144" s="122" t="s">
        <v>538</v>
      </c>
      <c r="W144" s="108">
        <v>1568000000</v>
      </c>
      <c r="X144" s="108">
        <v>251649999.99999997</v>
      </c>
      <c r="Y144" s="108">
        <v>291900000</v>
      </c>
      <c r="Z144" s="108">
        <f t="shared" si="19"/>
        <v>1776543.9999999998</v>
      </c>
      <c r="AA144" s="108">
        <f t="shared" si="20"/>
        <v>782673.5</v>
      </c>
      <c r="AB144" s="108">
        <f t="shared" si="21"/>
        <v>3779674.5</v>
      </c>
      <c r="AC144" s="108">
        <f t="shared" si="22"/>
        <v>1220457.0000000002</v>
      </c>
    </row>
    <row r="145" spans="1:29" x14ac:dyDescent="0.2">
      <c r="A145" s="124" t="s">
        <v>402</v>
      </c>
      <c r="B145" s="99">
        <f t="shared" si="16"/>
        <v>2.7201229968659454E-3</v>
      </c>
      <c r="C145" t="s">
        <v>689</v>
      </c>
      <c r="D145" s="99">
        <f t="shared" si="17"/>
        <v>3.5509325681492107E-2</v>
      </c>
      <c r="E145" s="123">
        <v>40822000</v>
      </c>
      <c r="F145" s="219">
        <v>22548</v>
      </c>
      <c r="G145" s="93">
        <v>23100</v>
      </c>
      <c r="H145" s="93">
        <v>1394</v>
      </c>
      <c r="I145" s="93">
        <v>3415</v>
      </c>
      <c r="J145" s="93">
        <v>1295</v>
      </c>
      <c r="K145" s="108">
        <f>(F145*138.66)*SUM(1,Macrogegevens!$C$4,0.5*Macrogegevens!$C$6,Macrogegevens!$C$8)</f>
        <v>3191224.3475760003</v>
      </c>
      <c r="L145" s="108">
        <f t="shared" si="23"/>
        <v>2330146.2000000002</v>
      </c>
      <c r="M145" s="108">
        <v>3571773.4482697621</v>
      </c>
      <c r="N145" s="108">
        <v>2380929.6360238595</v>
      </c>
      <c r="O145" s="108">
        <v>0</v>
      </c>
      <c r="P145" s="108">
        <f t="shared" si="18"/>
        <v>5952703.0842936216</v>
      </c>
      <c r="Q145" s="108">
        <v>42398000</v>
      </c>
      <c r="R145" s="155">
        <v>2149.9710480602203</v>
      </c>
      <c r="S145" s="122">
        <v>8.9200000000000002E-2</v>
      </c>
      <c r="T145" s="122">
        <v>0.1336</v>
      </c>
      <c r="U145" s="122">
        <v>0.1069</v>
      </c>
      <c r="V145" s="122" t="s">
        <v>402</v>
      </c>
      <c r="W145" s="108">
        <v>2280000000</v>
      </c>
      <c r="X145" s="108">
        <v>236949999.99999997</v>
      </c>
      <c r="Y145" s="108">
        <v>242899999.99999997</v>
      </c>
      <c r="Z145" s="108">
        <f t="shared" si="19"/>
        <v>2033760</v>
      </c>
      <c r="AA145" s="108">
        <f t="shared" si="20"/>
        <v>576225.29999999981</v>
      </c>
      <c r="AB145" s="108">
        <f t="shared" si="21"/>
        <v>4940131.5</v>
      </c>
      <c r="AC145" s="108">
        <f t="shared" si="22"/>
        <v>2330146.2000000002</v>
      </c>
    </row>
    <row r="146" spans="1:29" x14ac:dyDescent="0.2">
      <c r="A146" s="124" t="s">
        <v>282</v>
      </c>
      <c r="B146" s="99">
        <f t="shared" si="16"/>
        <v>5.8656882199508277E-4</v>
      </c>
      <c r="C146" t="s">
        <v>228</v>
      </c>
      <c r="D146" s="99">
        <f t="shared" si="17"/>
        <v>5.7665585919407132E-2</v>
      </c>
      <c r="E146" s="123">
        <v>71101000</v>
      </c>
      <c r="F146" s="219">
        <v>35612</v>
      </c>
      <c r="G146" s="93">
        <v>35800</v>
      </c>
      <c r="H146" s="93">
        <v>2159</v>
      </c>
      <c r="I146" s="93">
        <v>4635</v>
      </c>
      <c r="J146" s="93">
        <v>1910</v>
      </c>
      <c r="K146" s="108">
        <f>(F146*138.66)*SUM(1,Macrogegevens!$C$4,0.5*Macrogegevens!$C$6,Macrogegevens!$C$8)</f>
        <v>5040175.6903440012</v>
      </c>
      <c r="L146" s="108">
        <f t="shared" si="23"/>
        <v>895162.85000000009</v>
      </c>
      <c r="M146" s="108">
        <v>7516299.0553592108</v>
      </c>
      <c r="N146" s="108">
        <v>5654765.6512177195</v>
      </c>
      <c r="O146" s="108">
        <v>0</v>
      </c>
      <c r="P146" s="108">
        <f t="shared" si="18"/>
        <v>13171064.70657693</v>
      </c>
      <c r="Q146" s="108">
        <v>75291000</v>
      </c>
      <c r="R146" s="155">
        <v>3770.7803637786037</v>
      </c>
      <c r="S146" s="122">
        <v>0.1308</v>
      </c>
      <c r="T146" s="122">
        <v>0.24440000000000001</v>
      </c>
      <c r="U146" s="122">
        <v>0.19550000000000001</v>
      </c>
      <c r="V146" s="122" t="s">
        <v>282</v>
      </c>
      <c r="W146" s="108">
        <v>2626000000</v>
      </c>
      <c r="X146" s="108">
        <v>444850000</v>
      </c>
      <c r="Y146" s="108">
        <v>482649999.99999994</v>
      </c>
      <c r="Z146" s="108">
        <f t="shared" si="19"/>
        <v>3434808</v>
      </c>
      <c r="AA146" s="108">
        <f t="shared" si="20"/>
        <v>2030794.15</v>
      </c>
      <c r="AB146" s="108">
        <f t="shared" si="21"/>
        <v>6360765</v>
      </c>
      <c r="AC146" s="108">
        <f t="shared" si="22"/>
        <v>895162.85000000009</v>
      </c>
    </row>
    <row r="147" spans="1:29" x14ac:dyDescent="0.2">
      <c r="A147" s="124" t="s">
        <v>450</v>
      </c>
      <c r="B147" s="99">
        <f t="shared" si="16"/>
        <v>8.9720950699194793E-4</v>
      </c>
      <c r="C147" t="s">
        <v>228</v>
      </c>
      <c r="D147" s="99">
        <f t="shared" si="17"/>
        <v>3.5135135135135137E-2</v>
      </c>
      <c r="E147" s="123">
        <v>80406000</v>
      </c>
      <c r="F147" s="219">
        <v>38886</v>
      </c>
      <c r="G147" s="93">
        <v>39200</v>
      </c>
      <c r="H147" s="93">
        <v>1850</v>
      </c>
      <c r="I147" s="93">
        <v>4440</v>
      </c>
      <c r="J147" s="93">
        <v>1720</v>
      </c>
      <c r="K147" s="108">
        <f>(F147*138.66)*SUM(1,Macrogegevens!$C$4,0.5*Macrogegevens!$C$6,Macrogegevens!$C$8)</f>
        <v>5503545.7681320002</v>
      </c>
      <c r="L147" s="108">
        <f t="shared" si="23"/>
        <v>2328966.4</v>
      </c>
      <c r="M147" s="108">
        <v>9787746.9019323103</v>
      </c>
      <c r="N147" s="108">
        <v>3565274.6248405636</v>
      </c>
      <c r="O147" s="108">
        <v>0</v>
      </c>
      <c r="P147" s="108">
        <f t="shared" si="18"/>
        <v>13353021.526772873</v>
      </c>
      <c r="Q147" s="108">
        <v>80478000</v>
      </c>
      <c r="R147" s="155">
        <v>1041.9056243082805</v>
      </c>
      <c r="S147" s="122">
        <v>9.8400000000000001E-2</v>
      </c>
      <c r="T147" s="122">
        <v>0.18990000000000001</v>
      </c>
      <c r="U147" s="122">
        <v>0.1328</v>
      </c>
      <c r="V147" s="122" t="s">
        <v>450</v>
      </c>
      <c r="W147" s="108">
        <v>2726400000</v>
      </c>
      <c r="X147" s="108">
        <v>364700000</v>
      </c>
      <c r="Y147" s="108">
        <v>370650000</v>
      </c>
      <c r="Z147" s="108">
        <f t="shared" si="19"/>
        <v>2682777.6000000001</v>
      </c>
      <c r="AA147" s="108">
        <f t="shared" si="20"/>
        <v>1184788.5</v>
      </c>
      <c r="AB147" s="108">
        <f t="shared" si="21"/>
        <v>6196532.5</v>
      </c>
      <c r="AC147" s="108">
        <f t="shared" si="22"/>
        <v>2328966.4</v>
      </c>
    </row>
    <row r="148" spans="1:29" x14ac:dyDescent="0.2">
      <c r="A148" s="124" t="s">
        <v>539</v>
      </c>
      <c r="B148" s="99">
        <f t="shared" si="16"/>
        <v>7.7905349335513196E-3</v>
      </c>
      <c r="C148" t="s">
        <v>621</v>
      </c>
      <c r="D148" s="99">
        <f t="shared" si="17"/>
        <v>1.62748643761302E-2</v>
      </c>
      <c r="E148" s="123">
        <v>314992832</v>
      </c>
      <c r="F148" s="219">
        <v>89710</v>
      </c>
      <c r="G148" s="93">
        <v>96000</v>
      </c>
      <c r="H148" s="93">
        <v>4977</v>
      </c>
      <c r="I148" s="93">
        <v>12675</v>
      </c>
      <c r="J148" s="93">
        <v>4815</v>
      </c>
      <c r="K148" s="108">
        <f>(F148*138.66)*SUM(1,Macrogegevens!$C$4,0.5*Macrogegevens!$C$6,Macrogegevens!$C$8)</f>
        <v>12696679.804020002</v>
      </c>
      <c r="L148" s="108">
        <f t="shared" si="23"/>
        <v>3399181.75</v>
      </c>
      <c r="M148" s="108">
        <v>26854726.50311368</v>
      </c>
      <c r="N148" s="108">
        <v>11807406.744465386</v>
      </c>
      <c r="O148" s="108">
        <v>15597398.288365413</v>
      </c>
      <c r="P148" s="108">
        <f t="shared" si="18"/>
        <v>54259531.535944477</v>
      </c>
      <c r="Q148" s="108">
        <v>308437569</v>
      </c>
      <c r="R148" s="155">
        <v>2015.2903466944535</v>
      </c>
      <c r="S148" s="122">
        <v>0.1221</v>
      </c>
      <c r="T148" s="122">
        <v>0.21010000000000001</v>
      </c>
      <c r="U148" s="122">
        <v>0.1681</v>
      </c>
      <c r="V148" s="122" t="s">
        <v>539</v>
      </c>
      <c r="W148" s="108">
        <v>6438400000</v>
      </c>
      <c r="X148" s="108">
        <v>1316000000</v>
      </c>
      <c r="Y148" s="108">
        <v>1330350000</v>
      </c>
      <c r="Z148" s="108">
        <f t="shared" si="19"/>
        <v>7861286.4000000004</v>
      </c>
      <c r="AA148" s="108">
        <f t="shared" si="20"/>
        <v>5001234.3499999996</v>
      </c>
      <c r="AB148" s="108">
        <f t="shared" si="21"/>
        <v>16261702.5</v>
      </c>
      <c r="AC148" s="108">
        <f t="shared" si="22"/>
        <v>3399181.75</v>
      </c>
    </row>
    <row r="149" spans="1:29" x14ac:dyDescent="0.2">
      <c r="A149" s="124" t="s">
        <v>451</v>
      </c>
      <c r="B149" s="99">
        <f t="shared" si="16"/>
        <v>9.3056222420376342E-3</v>
      </c>
      <c r="C149" t="s">
        <v>689</v>
      </c>
      <c r="D149" s="99">
        <f t="shared" si="17"/>
        <v>2.9561347743165926E-2</v>
      </c>
      <c r="E149" s="123">
        <v>55952000</v>
      </c>
      <c r="F149" s="219">
        <v>29158</v>
      </c>
      <c r="G149" s="93">
        <v>31600</v>
      </c>
      <c r="H149" s="93">
        <v>1573</v>
      </c>
      <c r="I149" s="93">
        <v>4060</v>
      </c>
      <c r="J149" s="93">
        <v>1480</v>
      </c>
      <c r="K149" s="108">
        <f>(F149*138.66)*SUM(1,Macrogegevens!$C$4,0.5*Macrogegevens!$C$6,Macrogegevens!$C$8)</f>
        <v>4126739.3793960004</v>
      </c>
      <c r="L149" s="108">
        <f t="shared" si="23"/>
        <v>409318.55000000075</v>
      </c>
      <c r="M149" s="108">
        <v>6380720.2986926613</v>
      </c>
      <c r="N149" s="108">
        <v>2631232.2025100891</v>
      </c>
      <c r="O149" s="108">
        <v>0</v>
      </c>
      <c r="P149" s="108">
        <f t="shared" si="18"/>
        <v>9011952.501202751</v>
      </c>
      <c r="Q149" s="108">
        <v>55272000</v>
      </c>
      <c r="R149" s="155">
        <v>5252.8162992155258</v>
      </c>
      <c r="S149" s="122">
        <v>0.14169999999999999</v>
      </c>
      <c r="T149" s="122">
        <v>0.27379999999999999</v>
      </c>
      <c r="U149" s="122">
        <v>0.21929999999999999</v>
      </c>
      <c r="V149" s="122" t="s">
        <v>451</v>
      </c>
      <c r="W149" s="108">
        <v>1958000000</v>
      </c>
      <c r="X149" s="108">
        <v>237299999.99999997</v>
      </c>
      <c r="Y149" s="108">
        <v>238349999.99999997</v>
      </c>
      <c r="Z149" s="108">
        <f t="shared" si="19"/>
        <v>2774485.9999999995</v>
      </c>
      <c r="AA149" s="108">
        <f t="shared" si="20"/>
        <v>1172428.9499999997</v>
      </c>
      <c r="AB149" s="108">
        <f t="shared" si="21"/>
        <v>4356233.5</v>
      </c>
      <c r="AC149" s="108">
        <f t="shared" si="22"/>
        <v>409318.55000000075</v>
      </c>
    </row>
    <row r="150" spans="1:29" x14ac:dyDescent="0.2">
      <c r="A150" s="125" t="s">
        <v>630</v>
      </c>
      <c r="B150" s="99">
        <f t="shared" si="16"/>
        <v>7.1782303750032557E-3</v>
      </c>
      <c r="C150" t="s">
        <v>621</v>
      </c>
      <c r="D150" s="99">
        <f t="shared" si="17"/>
        <v>4.3814432989690719E-2</v>
      </c>
      <c r="E150" s="123">
        <v>276658000</v>
      </c>
      <c r="F150" s="219">
        <v>81063</v>
      </c>
      <c r="G150" s="93">
        <v>86300</v>
      </c>
      <c r="H150" s="93">
        <v>4850</v>
      </c>
      <c r="I150" s="93">
        <v>11460</v>
      </c>
      <c r="J150" s="93">
        <v>4425</v>
      </c>
      <c r="K150" s="108">
        <f>(F150*138.66)*SUM(1,Macrogegevens!$C$4,0.5*Macrogegevens!$C$6,Macrogegevens!$C$8)</f>
        <v>11472867.628506001</v>
      </c>
      <c r="L150" s="108">
        <f t="shared" si="23"/>
        <v>0</v>
      </c>
      <c r="M150" s="108">
        <v>21285012.702395447</v>
      </c>
      <c r="N150" s="108">
        <v>14152598.591711974</v>
      </c>
      <c r="O150" s="108">
        <v>0</v>
      </c>
      <c r="P150" s="108">
        <f t="shared" si="18"/>
        <v>35437611.294107422</v>
      </c>
      <c r="Q150" s="108">
        <v>275904000</v>
      </c>
      <c r="R150" s="155">
        <v>6719.0239191799137</v>
      </c>
      <c r="S150" s="122">
        <v>0.14280000000000001</v>
      </c>
      <c r="T150" s="122">
        <v>0.31169999999999998</v>
      </c>
      <c r="U150" s="122">
        <v>0.2495</v>
      </c>
      <c r="V150" s="122" t="s">
        <v>636</v>
      </c>
      <c r="W150" s="108">
        <v>4986000000</v>
      </c>
      <c r="X150" s="108">
        <v>1404200000</v>
      </c>
      <c r="Y150" s="108">
        <v>1434300000</v>
      </c>
      <c r="Z150" s="108">
        <f t="shared" si="19"/>
        <v>7120008</v>
      </c>
      <c r="AA150" s="108">
        <f t="shared" si="20"/>
        <v>7955469.9000000004</v>
      </c>
      <c r="AB150" s="108">
        <f t="shared" si="21"/>
        <v>14005855</v>
      </c>
      <c r="AC150" s="108">
        <f t="shared" si="22"/>
        <v>-1069622.9000000004</v>
      </c>
    </row>
    <row r="151" spans="1:29" x14ac:dyDescent="0.2">
      <c r="A151" s="124" t="s">
        <v>617</v>
      </c>
      <c r="B151" s="99">
        <f t="shared" si="16"/>
        <v>8.1607030759573134E-3</v>
      </c>
      <c r="C151" t="s">
        <v>228</v>
      </c>
      <c r="D151" s="99">
        <f t="shared" si="17"/>
        <v>4.7720797720797722E-2</v>
      </c>
      <c r="E151" s="123">
        <v>24093212</v>
      </c>
      <c r="F151" s="219">
        <v>10620</v>
      </c>
      <c r="G151" s="93">
        <v>11400</v>
      </c>
      <c r="H151" s="93">
        <v>702</v>
      </c>
      <c r="I151" s="93">
        <v>1500</v>
      </c>
      <c r="J151" s="93">
        <v>635</v>
      </c>
      <c r="K151" s="108">
        <f>(F151*138.66)*SUM(1,Macrogegevens!$C$4,0.5*Macrogegevens!$C$6,Macrogegevens!$C$8)</f>
        <v>1503051.3824400003</v>
      </c>
      <c r="L151" s="108">
        <f t="shared" si="23"/>
        <v>0</v>
      </c>
      <c r="M151" s="108">
        <v>3226003.0294572404</v>
      </c>
      <c r="N151" s="108">
        <v>1377178.2402498915</v>
      </c>
      <c r="O151" s="108">
        <v>0</v>
      </c>
      <c r="P151" s="108">
        <f t="shared" si="18"/>
        <v>4603181.2697071321</v>
      </c>
      <c r="Q151" s="108">
        <v>24479000</v>
      </c>
      <c r="R151" s="155">
        <v>236.61532819948661</v>
      </c>
      <c r="S151" s="122">
        <v>0.19159999999999999</v>
      </c>
      <c r="T151" s="122">
        <v>0.20050000000000001</v>
      </c>
      <c r="U151" s="122">
        <v>0.15390000000000001</v>
      </c>
      <c r="V151" s="122" t="s">
        <v>261</v>
      </c>
      <c r="W151" s="108">
        <v>506000000</v>
      </c>
      <c r="X151" s="108">
        <v>95900000</v>
      </c>
      <c r="Y151" s="108">
        <v>118649999.99999999</v>
      </c>
      <c r="Z151" s="108">
        <f t="shared" si="19"/>
        <v>969496</v>
      </c>
      <c r="AA151" s="108">
        <f t="shared" si="20"/>
        <v>374881.85</v>
      </c>
      <c r="AB151" s="108">
        <f t="shared" si="21"/>
        <v>1289784.5</v>
      </c>
      <c r="AC151" s="108">
        <f t="shared" si="22"/>
        <v>-54593.349999999977</v>
      </c>
    </row>
    <row r="152" spans="1:29" x14ac:dyDescent="0.2">
      <c r="A152" s="124" t="s">
        <v>321</v>
      </c>
      <c r="B152" s="99">
        <f t="shared" si="16"/>
        <v>-8.713932119485979E-3</v>
      </c>
      <c r="C152" t="s">
        <v>689</v>
      </c>
      <c r="D152" s="99">
        <f t="shared" si="17"/>
        <v>4.5040946314831666E-2</v>
      </c>
      <c r="E152" s="123">
        <v>29486845</v>
      </c>
      <c r="F152" s="219">
        <v>16385</v>
      </c>
      <c r="G152" s="93">
        <v>15100</v>
      </c>
      <c r="H152" s="93">
        <v>1099</v>
      </c>
      <c r="I152" s="93">
        <v>2395</v>
      </c>
      <c r="J152" s="93">
        <v>1000</v>
      </c>
      <c r="K152" s="108">
        <f>(F152*138.66)*SUM(1,Macrogegevens!$C$4,0.5*Macrogegevens!$C$6,Macrogegevens!$C$8)</f>
        <v>2318973.3428700003</v>
      </c>
      <c r="L152" s="108">
        <f t="shared" si="23"/>
        <v>0</v>
      </c>
      <c r="M152" s="108">
        <v>3288870.6546278489</v>
      </c>
      <c r="N152" s="108">
        <v>2023063.1415822927</v>
      </c>
      <c r="O152" s="108">
        <v>0</v>
      </c>
      <c r="P152" s="108">
        <f t="shared" si="18"/>
        <v>5311933.7962101419</v>
      </c>
      <c r="Q152" s="108">
        <v>29314984</v>
      </c>
      <c r="R152" s="155">
        <v>1329.1847041847043</v>
      </c>
      <c r="S152" s="122">
        <v>0.17555100000000001</v>
      </c>
      <c r="T152" s="122">
        <v>0.26503399999999999</v>
      </c>
      <c r="U152" s="122">
        <v>0.21592700000000001</v>
      </c>
      <c r="V152" s="122" t="s">
        <v>321</v>
      </c>
      <c r="W152" s="108">
        <v>1478400000</v>
      </c>
      <c r="X152" s="108">
        <v>185500000</v>
      </c>
      <c r="Y152" s="108">
        <v>200900000</v>
      </c>
      <c r="Z152" s="108">
        <f t="shared" si="19"/>
        <v>2595345.9840000002</v>
      </c>
      <c r="AA152" s="108">
        <f t="shared" si="20"/>
        <v>925435.41299999994</v>
      </c>
      <c r="AB152" s="108">
        <f t="shared" si="21"/>
        <v>3337992</v>
      </c>
      <c r="AC152" s="108">
        <f t="shared" si="22"/>
        <v>-182789.39700000011</v>
      </c>
    </row>
    <row r="153" spans="1:29" x14ac:dyDescent="0.2">
      <c r="A153" s="124" t="s">
        <v>540</v>
      </c>
      <c r="B153" s="99">
        <f t="shared" si="16"/>
        <v>-1.1230629739531818E-3</v>
      </c>
      <c r="C153" t="s">
        <v>228</v>
      </c>
      <c r="D153" s="99">
        <f t="shared" si="17"/>
        <v>2.8145695364238412E-2</v>
      </c>
      <c r="E153" s="123">
        <v>84316000</v>
      </c>
      <c r="F153" s="219">
        <v>43136</v>
      </c>
      <c r="G153" s="93">
        <v>42700</v>
      </c>
      <c r="H153" s="93">
        <v>3020</v>
      </c>
      <c r="I153" s="93">
        <v>7415</v>
      </c>
      <c r="J153" s="93">
        <v>2850</v>
      </c>
      <c r="K153" s="108">
        <f>(F153*138.66)*SUM(1,Macrogegevens!$C$4,0.5*Macrogegevens!$C$6,Macrogegevens!$C$8)</f>
        <v>6105049.3816320011</v>
      </c>
      <c r="L153" s="108">
        <f t="shared" si="23"/>
        <v>3137059.4649999999</v>
      </c>
      <c r="M153" s="108">
        <v>8033198.7089178469</v>
      </c>
      <c r="N153" s="108">
        <v>4289471.3041972639</v>
      </c>
      <c r="O153" s="108">
        <v>0</v>
      </c>
      <c r="P153" s="108">
        <f t="shared" si="18"/>
        <v>12322670.013115112</v>
      </c>
      <c r="Q153" s="108">
        <v>100177000</v>
      </c>
      <c r="R153" s="155">
        <v>2709.5011047796256</v>
      </c>
      <c r="S153" s="122">
        <v>9.6659999999999996E-2</v>
      </c>
      <c r="T153" s="122">
        <v>0.20055999999999999</v>
      </c>
      <c r="U153" s="122">
        <v>0.14773</v>
      </c>
      <c r="V153" s="122" t="s">
        <v>540</v>
      </c>
      <c r="W153" s="108">
        <v>3731600000</v>
      </c>
      <c r="X153" s="108">
        <v>491399999.99999994</v>
      </c>
      <c r="Y153" s="108">
        <v>544950000</v>
      </c>
      <c r="Z153" s="108">
        <f t="shared" si="19"/>
        <v>3606964.56</v>
      </c>
      <c r="AA153" s="108">
        <f t="shared" si="20"/>
        <v>1790606.4749999996</v>
      </c>
      <c r="AB153" s="108">
        <f t="shared" si="21"/>
        <v>8534630.5</v>
      </c>
      <c r="AC153" s="108">
        <f t="shared" si="22"/>
        <v>3137059.4649999999</v>
      </c>
    </row>
    <row r="154" spans="1:29" x14ac:dyDescent="0.2">
      <c r="A154" s="124" t="s">
        <v>452</v>
      </c>
      <c r="B154" s="99">
        <f t="shared" si="16"/>
        <v>4.234610036657818E-3</v>
      </c>
      <c r="C154" t="s">
        <v>228</v>
      </c>
      <c r="D154" s="99">
        <f t="shared" si="17"/>
        <v>2.687776141384389E-2</v>
      </c>
      <c r="E154" s="123">
        <v>40001000</v>
      </c>
      <c r="F154" s="219">
        <v>21096</v>
      </c>
      <c r="G154" s="93">
        <v>21900</v>
      </c>
      <c r="H154" s="93">
        <v>1358</v>
      </c>
      <c r="I154" s="93">
        <v>3330</v>
      </c>
      <c r="J154" s="93">
        <v>1285</v>
      </c>
      <c r="K154" s="108">
        <f>(F154*138.66)*SUM(1,Macrogegevens!$C$4,0.5*Macrogegevens!$C$6,Macrogegevens!$C$8)</f>
        <v>2985722.4071520003</v>
      </c>
      <c r="L154" s="108">
        <f t="shared" si="23"/>
        <v>1731880.2000000002</v>
      </c>
      <c r="M154" s="108">
        <v>3922549.9365753285</v>
      </c>
      <c r="N154" s="108">
        <v>2751459.5390869216</v>
      </c>
      <c r="O154" s="108">
        <v>0</v>
      </c>
      <c r="P154" s="108">
        <f t="shared" si="18"/>
        <v>6674009.4756622501</v>
      </c>
      <c r="Q154" s="108">
        <v>44216000</v>
      </c>
      <c r="R154" s="155">
        <v>-1204.3546182386253</v>
      </c>
      <c r="S154" s="122">
        <v>9.1899999999999996E-2</v>
      </c>
      <c r="T154" s="122">
        <v>0.14219999999999999</v>
      </c>
      <c r="U154" s="122">
        <v>0.12509999999999999</v>
      </c>
      <c r="V154" s="122" t="s">
        <v>452</v>
      </c>
      <c r="W154" s="108">
        <v>1665200000</v>
      </c>
      <c r="X154" s="108">
        <v>307650000</v>
      </c>
      <c r="Y154" s="108">
        <v>312200000</v>
      </c>
      <c r="Z154" s="108">
        <f t="shared" si="19"/>
        <v>1530318.8</v>
      </c>
      <c r="AA154" s="108">
        <f t="shared" si="20"/>
        <v>828040.5</v>
      </c>
      <c r="AB154" s="108">
        <f t="shared" si="21"/>
        <v>4090239.5</v>
      </c>
      <c r="AC154" s="108">
        <f t="shared" si="22"/>
        <v>1731880.2000000002</v>
      </c>
    </row>
    <row r="155" spans="1:29" x14ac:dyDescent="0.2">
      <c r="A155" s="124" t="s">
        <v>541</v>
      </c>
      <c r="B155" s="99">
        <f t="shared" si="16"/>
        <v>4.2101531166212412E-4</v>
      </c>
      <c r="C155" t="s">
        <v>689</v>
      </c>
      <c r="D155" s="99">
        <f t="shared" si="17"/>
        <v>5.2321296978629327E-2</v>
      </c>
      <c r="E155" s="123">
        <v>30600000</v>
      </c>
      <c r="F155" s="219">
        <v>15043</v>
      </c>
      <c r="G155" s="93">
        <v>15100</v>
      </c>
      <c r="H155" s="93">
        <v>1357</v>
      </c>
      <c r="I155" s="93">
        <v>3020</v>
      </c>
      <c r="J155" s="93">
        <v>1215</v>
      </c>
      <c r="K155" s="108">
        <f>(F155*138.66)*SUM(1,Macrogegevens!$C$4,0.5*Macrogegevens!$C$6,Macrogegevens!$C$8)</f>
        <v>2129039.7312660003</v>
      </c>
      <c r="L155" s="108">
        <f t="shared" si="23"/>
        <v>1495210.7000000002</v>
      </c>
      <c r="M155" s="108">
        <v>2360713.9223734862</v>
      </c>
      <c r="N155" s="108">
        <v>1495244.3577794635</v>
      </c>
      <c r="O155" s="108">
        <v>0</v>
      </c>
      <c r="P155" s="108">
        <f t="shared" si="18"/>
        <v>3855958.2801529495</v>
      </c>
      <c r="Q155" s="108">
        <v>33776000</v>
      </c>
      <c r="R155" s="155">
        <v>1421.4180798504474</v>
      </c>
      <c r="S155" s="122">
        <v>9.9099999999999994E-2</v>
      </c>
      <c r="T155" s="122">
        <v>0.123</v>
      </c>
      <c r="U155" s="122">
        <v>0.1028</v>
      </c>
      <c r="V155" s="122" t="s">
        <v>541</v>
      </c>
      <c r="W155" s="108">
        <v>1384800000</v>
      </c>
      <c r="X155" s="108">
        <v>263199999.99999997</v>
      </c>
      <c r="Y155" s="108">
        <v>316750000</v>
      </c>
      <c r="Z155" s="108">
        <f t="shared" si="19"/>
        <v>1372336.7999999998</v>
      </c>
      <c r="AA155" s="108">
        <f t="shared" si="20"/>
        <v>649355</v>
      </c>
      <c r="AB155" s="108">
        <f t="shared" si="21"/>
        <v>3516902.5</v>
      </c>
      <c r="AC155" s="108">
        <f t="shared" si="22"/>
        <v>1495210.7000000002</v>
      </c>
    </row>
    <row r="156" spans="1:29" x14ac:dyDescent="0.2">
      <c r="A156" s="125" t="s">
        <v>403</v>
      </c>
      <c r="B156" s="99">
        <f t="shared" si="16"/>
        <v>-2.2036251544448266E-3</v>
      </c>
      <c r="C156" t="s">
        <v>621</v>
      </c>
      <c r="D156" s="99">
        <f t="shared" si="17"/>
        <v>2.0662967289719628E-2</v>
      </c>
      <c r="E156" s="123">
        <v>220525000</v>
      </c>
      <c r="F156" s="219">
        <v>87230</v>
      </c>
      <c r="G156" s="93">
        <v>85500</v>
      </c>
      <c r="H156" s="93">
        <v>6848</v>
      </c>
      <c r="I156" s="93">
        <v>16995</v>
      </c>
      <c r="J156" s="93">
        <v>6565</v>
      </c>
      <c r="K156" s="108">
        <f>(F156*138.66)*SUM(1,Macrogegevens!$C$4,0.5*Macrogegevens!$C$6,Macrogegevens!$C$8)</f>
        <v>12345684.754260002</v>
      </c>
      <c r="L156" s="108">
        <f t="shared" si="23"/>
        <v>6821910.1499999985</v>
      </c>
      <c r="M156" s="108">
        <v>15802756.048238808</v>
      </c>
      <c r="N156" s="108">
        <v>12260285.057721697</v>
      </c>
      <c r="O156" s="108">
        <v>12185939.531687696</v>
      </c>
      <c r="P156" s="108">
        <f t="shared" si="18"/>
        <v>40248980.637648195</v>
      </c>
      <c r="Q156" s="108">
        <v>215842000</v>
      </c>
      <c r="R156" s="155">
        <v>2185.5674979012215</v>
      </c>
      <c r="S156" s="122">
        <v>9.74E-2</v>
      </c>
      <c r="T156" s="122">
        <v>0.1888</v>
      </c>
      <c r="U156" s="122">
        <v>0.15129999999999999</v>
      </c>
      <c r="V156" s="122" t="s">
        <v>403</v>
      </c>
      <c r="W156" s="108">
        <v>7962400000</v>
      </c>
      <c r="X156" s="108">
        <v>1755950000</v>
      </c>
      <c r="Y156" s="108">
        <v>1793050000</v>
      </c>
      <c r="Z156" s="108">
        <f t="shared" si="19"/>
        <v>7755377.6000000006</v>
      </c>
      <c r="AA156" s="108">
        <f t="shared" si="20"/>
        <v>6028118.25</v>
      </c>
      <c r="AB156" s="108">
        <f t="shared" si="21"/>
        <v>20605406</v>
      </c>
      <c r="AC156" s="108">
        <f t="shared" si="22"/>
        <v>6821910.1499999985</v>
      </c>
    </row>
    <row r="157" spans="1:29" x14ac:dyDescent="0.2">
      <c r="A157" s="124" t="s">
        <v>283</v>
      </c>
      <c r="B157" s="99">
        <f t="shared" si="16"/>
        <v>1.549884315616278E-3</v>
      </c>
      <c r="C157" t="s">
        <v>689</v>
      </c>
      <c r="D157" s="99">
        <f t="shared" si="17"/>
        <v>7.9824856854159645E-2</v>
      </c>
      <c r="E157" s="123">
        <v>71008000</v>
      </c>
      <c r="F157" s="219">
        <v>34913</v>
      </c>
      <c r="G157" s="93">
        <v>35400</v>
      </c>
      <c r="H157" s="93">
        <v>2969</v>
      </c>
      <c r="I157" s="93">
        <v>6065</v>
      </c>
      <c r="J157" s="93">
        <v>2495</v>
      </c>
      <c r="K157" s="108">
        <f>(F157*138.66)*SUM(1,Macrogegevens!$C$4,0.5*Macrogegevens!$C$6,Macrogegevens!$C$8)</f>
        <v>4941246.0372060006</v>
      </c>
      <c r="L157" s="108">
        <f t="shared" si="23"/>
        <v>1874395.9500000002</v>
      </c>
      <c r="M157" s="108">
        <v>6106075.241117076</v>
      </c>
      <c r="N157" s="108">
        <v>5655831.0641600471</v>
      </c>
      <c r="O157" s="108">
        <v>0</v>
      </c>
      <c r="P157" s="108">
        <f t="shared" si="18"/>
        <v>11761906.305277124</v>
      </c>
      <c r="Q157" s="108">
        <v>71465000</v>
      </c>
      <c r="R157" s="155">
        <v>534.36900868388409</v>
      </c>
      <c r="S157" s="122">
        <v>0.1116</v>
      </c>
      <c r="T157" s="122">
        <v>0.18129999999999999</v>
      </c>
      <c r="U157" s="122">
        <v>0.1585</v>
      </c>
      <c r="V157" s="122" t="s">
        <v>283</v>
      </c>
      <c r="W157" s="108">
        <v>2618000000</v>
      </c>
      <c r="X157" s="108">
        <v>507849999.99999994</v>
      </c>
      <c r="Y157" s="108">
        <v>592900000</v>
      </c>
      <c r="Z157" s="108">
        <f t="shared" si="19"/>
        <v>2921688</v>
      </c>
      <c r="AA157" s="108">
        <f t="shared" si="20"/>
        <v>1860478.5499999998</v>
      </c>
      <c r="AB157" s="108">
        <f t="shared" si="21"/>
        <v>6656562.5</v>
      </c>
      <c r="AC157" s="108">
        <f t="shared" si="22"/>
        <v>1874395.9500000002</v>
      </c>
    </row>
    <row r="158" spans="1:29" x14ac:dyDescent="0.2">
      <c r="A158" s="124" t="s">
        <v>404</v>
      </c>
      <c r="B158" s="99">
        <f t="shared" si="16"/>
        <v>3.6943509165731389E-3</v>
      </c>
      <c r="C158" t="s">
        <v>689</v>
      </c>
      <c r="D158" s="99">
        <f t="shared" si="17"/>
        <v>2.6019874476987448E-2</v>
      </c>
      <c r="E158" s="123">
        <v>90715000</v>
      </c>
      <c r="F158" s="219">
        <v>47520</v>
      </c>
      <c r="G158" s="93">
        <v>49100</v>
      </c>
      <c r="H158" s="93">
        <v>3824</v>
      </c>
      <c r="I158" s="93">
        <v>8330</v>
      </c>
      <c r="J158" s="93">
        <v>3625</v>
      </c>
      <c r="K158" s="108">
        <f>(F158*138.66)*SUM(1,Macrogegevens!$C$4,0.5*Macrogegevens!$C$6,Macrogegevens!$C$8)</f>
        <v>6725518.0502400016</v>
      </c>
      <c r="L158" s="108">
        <f t="shared" si="23"/>
        <v>2399985.7000000002</v>
      </c>
      <c r="M158" s="108">
        <v>7896744.5138909044</v>
      </c>
      <c r="N158" s="108">
        <v>4635135.2332009478</v>
      </c>
      <c r="O158" s="108">
        <v>0</v>
      </c>
      <c r="P158" s="108">
        <f t="shared" si="18"/>
        <v>12531879.747091852</v>
      </c>
      <c r="Q158" s="108">
        <v>85418000</v>
      </c>
      <c r="R158" s="161">
        <v>545.89767832755547</v>
      </c>
      <c r="S158" s="122">
        <v>0.1195</v>
      </c>
      <c r="T158" s="122">
        <v>0.16639999999999999</v>
      </c>
      <c r="U158" s="122">
        <v>0.1318</v>
      </c>
      <c r="V158" s="122" t="s">
        <v>404</v>
      </c>
      <c r="W158" s="108">
        <v>3186000000</v>
      </c>
      <c r="X158" s="108">
        <v>774550000</v>
      </c>
      <c r="Y158" s="108">
        <v>861700000</v>
      </c>
      <c r="Z158" s="108">
        <f t="shared" si="19"/>
        <v>3807269.9999999995</v>
      </c>
      <c r="AA158" s="108">
        <f t="shared" si="20"/>
        <v>2424571.7999999998</v>
      </c>
      <c r="AB158" s="108">
        <f t="shared" si="21"/>
        <v>8631827.5</v>
      </c>
      <c r="AC158" s="108">
        <f t="shared" si="22"/>
        <v>2399985.7000000002</v>
      </c>
    </row>
    <row r="159" spans="1:29" x14ac:dyDescent="0.2">
      <c r="A159" s="124" t="s">
        <v>221</v>
      </c>
      <c r="B159" s="99">
        <f t="shared" si="16"/>
        <v>3.9270965612082254E-3</v>
      </c>
      <c r="C159" t="s">
        <v>621</v>
      </c>
      <c r="D159" s="99">
        <f t="shared" si="17"/>
        <v>3.9434523809523808E-2</v>
      </c>
      <c r="E159" s="123">
        <v>148021000</v>
      </c>
      <c r="F159" s="219">
        <v>54861</v>
      </c>
      <c r="G159" s="93">
        <v>56800</v>
      </c>
      <c r="H159" s="93">
        <v>3360</v>
      </c>
      <c r="I159" s="93">
        <v>7825</v>
      </c>
      <c r="J159" s="93">
        <v>3095</v>
      </c>
      <c r="K159" s="108">
        <f>(F159*138.66)*SUM(1,Macrogegevens!$C$4,0.5*Macrogegevens!$C$6,Macrogegevens!$C$8)</f>
        <v>7764491.7035820009</v>
      </c>
      <c r="L159" s="108">
        <f t="shared" si="23"/>
        <v>705133.5</v>
      </c>
      <c r="M159" s="108">
        <v>16652092.03233703</v>
      </c>
      <c r="N159" s="108">
        <v>11532569.237768222</v>
      </c>
      <c r="O159" s="108">
        <v>0</v>
      </c>
      <c r="P159" s="108">
        <f t="shared" si="18"/>
        <v>28184661.27010525</v>
      </c>
      <c r="Q159" s="108">
        <v>147980000</v>
      </c>
      <c r="R159" s="155">
        <v>1925.4812517106104</v>
      </c>
      <c r="S159" s="122">
        <v>0.14499999999999999</v>
      </c>
      <c r="T159" s="122">
        <v>0.23400000000000001</v>
      </c>
      <c r="U159" s="122">
        <v>0.17399999999999999</v>
      </c>
      <c r="V159" s="122" t="s">
        <v>221</v>
      </c>
      <c r="W159" s="108">
        <v>3086400000</v>
      </c>
      <c r="X159" s="108">
        <v>692650000</v>
      </c>
      <c r="Y159" s="108">
        <v>734300000</v>
      </c>
      <c r="Z159" s="108">
        <f t="shared" si="19"/>
        <v>4475280</v>
      </c>
      <c r="AA159" s="108">
        <f t="shared" si="20"/>
        <v>2898483</v>
      </c>
      <c r="AB159" s="108">
        <f t="shared" si="21"/>
        <v>8078896.5</v>
      </c>
      <c r="AC159" s="108">
        <f t="shared" si="22"/>
        <v>705133.5</v>
      </c>
    </row>
    <row r="160" spans="1:29" x14ac:dyDescent="0.2">
      <c r="A160" s="124" t="s">
        <v>238</v>
      </c>
      <c r="B160" s="99">
        <f t="shared" si="16"/>
        <v>8.307524021268815E-3</v>
      </c>
      <c r="C160" t="s">
        <v>621</v>
      </c>
      <c r="D160" s="99">
        <f t="shared" si="17"/>
        <v>1.6556291390728478E-2</v>
      </c>
      <c r="E160" s="123">
        <v>116380673</v>
      </c>
      <c r="F160" s="219">
        <v>34333</v>
      </c>
      <c r="G160" s="93">
        <v>36900</v>
      </c>
      <c r="H160" s="93">
        <v>1510</v>
      </c>
      <c r="I160" s="93">
        <v>3580</v>
      </c>
      <c r="J160" s="93">
        <v>1460</v>
      </c>
      <c r="K160" s="108">
        <f>(F160*138.66)*SUM(1,Macrogegevens!$C$4,0.5*Macrogegevens!$C$6,Macrogegevens!$C$8)</f>
        <v>4859158.4852460008</v>
      </c>
      <c r="L160" s="108">
        <f t="shared" si="23"/>
        <v>0</v>
      </c>
      <c r="M160" s="108">
        <v>13319512.608622888</v>
      </c>
      <c r="N160" s="108">
        <v>8065312.9063669434</v>
      </c>
      <c r="O160" s="108">
        <v>0</v>
      </c>
      <c r="P160" s="108">
        <f t="shared" si="18"/>
        <v>21384825.514989831</v>
      </c>
      <c r="Q160" s="108">
        <v>113947107</v>
      </c>
      <c r="R160" s="155">
        <v>2127.7550785521089</v>
      </c>
      <c r="S160" s="122">
        <v>0.16009999999999999</v>
      </c>
      <c r="T160" s="122">
        <v>0.31859999999999999</v>
      </c>
      <c r="U160" s="122">
        <v>0.25569999999999998</v>
      </c>
      <c r="V160" s="122" t="s">
        <v>238</v>
      </c>
      <c r="W160" s="108">
        <v>1716800000</v>
      </c>
      <c r="X160" s="108">
        <v>373450000</v>
      </c>
      <c r="Y160" s="108">
        <v>389900000</v>
      </c>
      <c r="Z160" s="108">
        <f t="shared" si="19"/>
        <v>2748596.8</v>
      </c>
      <c r="AA160" s="108">
        <f t="shared" si="20"/>
        <v>2186786</v>
      </c>
      <c r="AB160" s="108">
        <f t="shared" si="21"/>
        <v>4439468.5</v>
      </c>
      <c r="AC160" s="108">
        <f t="shared" si="22"/>
        <v>-495914.29999999981</v>
      </c>
    </row>
    <row r="161" spans="1:29" x14ac:dyDescent="0.2">
      <c r="A161" s="124" t="s">
        <v>405</v>
      </c>
      <c r="B161" s="99">
        <f t="shared" si="16"/>
        <v>8.9396903091037757E-3</v>
      </c>
      <c r="C161" t="s">
        <v>621</v>
      </c>
      <c r="D161" s="99">
        <f t="shared" si="17"/>
        <v>2.3045173125429946E-2</v>
      </c>
      <c r="E161" s="123">
        <v>177808000</v>
      </c>
      <c r="F161" s="219">
        <v>71914</v>
      </c>
      <c r="G161" s="93">
        <v>77700</v>
      </c>
      <c r="H161" s="93">
        <v>4361</v>
      </c>
      <c r="I161" s="93">
        <v>10335</v>
      </c>
      <c r="J161" s="93">
        <v>4160</v>
      </c>
      <c r="K161" s="108">
        <f>(F161*138.66)*SUM(1,Macrogegevens!$C$4,0.5*Macrogegevens!$C$6,Macrogegevens!$C$8)</f>
        <v>10178007.261468003</v>
      </c>
      <c r="L161" s="108">
        <f t="shared" si="23"/>
        <v>4075836.5900000008</v>
      </c>
      <c r="M161" s="108">
        <v>17736691.927497659</v>
      </c>
      <c r="N161" s="108">
        <v>10401538.044558702</v>
      </c>
      <c r="O161" s="108">
        <v>8404654.7383441869</v>
      </c>
      <c r="P161" s="108">
        <f t="shared" si="18"/>
        <v>36542884.710400544</v>
      </c>
      <c r="Q161" s="108">
        <v>179594000</v>
      </c>
      <c r="R161" s="155">
        <v>2911.5185332801911</v>
      </c>
      <c r="S161" s="122">
        <v>0.10599</v>
      </c>
      <c r="T161" s="122">
        <v>0.15842999999999999</v>
      </c>
      <c r="U161" s="122">
        <v>0.13189999999999999</v>
      </c>
      <c r="V161" s="122" t="s">
        <v>405</v>
      </c>
      <c r="W161" s="108">
        <v>4715600000</v>
      </c>
      <c r="X161" s="108">
        <v>925400000</v>
      </c>
      <c r="Y161" s="108">
        <v>939750000</v>
      </c>
      <c r="Z161" s="108">
        <f t="shared" si="19"/>
        <v>4998064.4399999995</v>
      </c>
      <c r="AA161" s="108">
        <f t="shared" si="20"/>
        <v>2705641.4699999997</v>
      </c>
      <c r="AB161" s="108">
        <f t="shared" si="21"/>
        <v>11779542.5</v>
      </c>
      <c r="AC161" s="108">
        <f t="shared" si="22"/>
        <v>4075836.5900000008</v>
      </c>
    </row>
    <row r="162" spans="1:29" x14ac:dyDescent="0.2">
      <c r="A162" s="124" t="s">
        <v>582</v>
      </c>
      <c r="B162" s="99">
        <f t="shared" si="16"/>
        <v>-4.9506006871092335E-3</v>
      </c>
      <c r="C162" t="s">
        <v>689</v>
      </c>
      <c r="D162" s="99">
        <f t="shared" si="17"/>
        <v>4.6653478404220246E-2</v>
      </c>
      <c r="E162" s="123">
        <v>89201000</v>
      </c>
      <c r="F162" s="219">
        <v>41656</v>
      </c>
      <c r="G162" s="93">
        <v>39800</v>
      </c>
      <c r="H162" s="93">
        <v>3033</v>
      </c>
      <c r="I162" s="93">
        <v>5700</v>
      </c>
      <c r="J162" s="93">
        <v>2750</v>
      </c>
      <c r="K162" s="108">
        <f>(F162*138.66)*SUM(1,Macrogegevens!$C$4,0.5*Macrogegevens!$C$6,Macrogegevens!$C$8)</f>
        <v>5895584.5938720005</v>
      </c>
      <c r="L162" s="108">
        <f t="shared" si="23"/>
        <v>1165734.5</v>
      </c>
      <c r="M162" s="108">
        <v>8086206.7644090755</v>
      </c>
      <c r="N162" s="108">
        <v>4372259.4043215746</v>
      </c>
      <c r="O162" s="108">
        <v>0</v>
      </c>
      <c r="P162" s="108">
        <f t="shared" si="18"/>
        <v>12458466.16873065</v>
      </c>
      <c r="Q162" s="108">
        <v>90525000</v>
      </c>
      <c r="R162" s="155">
        <v>801.76052092125894</v>
      </c>
      <c r="S162" s="122">
        <v>0.15640000000000001</v>
      </c>
      <c r="T162" s="122">
        <v>0.1641</v>
      </c>
      <c r="U162" s="122">
        <v>0.13109999999999999</v>
      </c>
      <c r="V162" s="122" t="s">
        <v>582</v>
      </c>
      <c r="W162" s="108">
        <v>3138800000</v>
      </c>
      <c r="X162" s="108">
        <v>668500000</v>
      </c>
      <c r="Y162" s="108">
        <v>744800000</v>
      </c>
      <c r="Z162" s="108">
        <f t="shared" si="19"/>
        <v>4909083.2</v>
      </c>
      <c r="AA162" s="108">
        <f t="shared" si="20"/>
        <v>2073441.2999999998</v>
      </c>
      <c r="AB162" s="108">
        <f t="shared" si="21"/>
        <v>8148259</v>
      </c>
      <c r="AC162" s="108">
        <f t="shared" si="22"/>
        <v>1165734.5</v>
      </c>
    </row>
    <row r="163" spans="1:29" x14ac:dyDescent="0.2">
      <c r="A163" s="124" t="s">
        <v>361</v>
      </c>
      <c r="B163" s="99">
        <f t="shared" si="16"/>
        <v>1.0675148291336495E-2</v>
      </c>
      <c r="C163" t="s">
        <v>228</v>
      </c>
      <c r="D163" s="99">
        <f t="shared" si="17"/>
        <v>4.3194089229894858E-2</v>
      </c>
      <c r="E163" s="123">
        <v>108278595</v>
      </c>
      <c r="F163" s="219">
        <v>48628</v>
      </c>
      <c r="G163" s="93">
        <v>53300</v>
      </c>
      <c r="H163" s="93">
        <v>3519</v>
      </c>
      <c r="I163" s="93">
        <v>7595</v>
      </c>
      <c r="J163" s="93">
        <v>3215</v>
      </c>
      <c r="K163" s="108">
        <f>(F163*138.66)*SUM(1,Macrogegevens!$C$4,0.5*Macrogegevens!$C$6,Macrogegevens!$C$8)</f>
        <v>6882333.5805360004</v>
      </c>
      <c r="L163" s="108">
        <f t="shared" si="23"/>
        <v>777011.09999999963</v>
      </c>
      <c r="M163" s="108">
        <v>10972762.675404068</v>
      </c>
      <c r="N163" s="108">
        <v>3820078.0797340851</v>
      </c>
      <c r="O163" s="108">
        <v>0</v>
      </c>
      <c r="P163" s="108">
        <f t="shared" si="18"/>
        <v>14792840.755138153</v>
      </c>
      <c r="Q163" s="108">
        <v>105829002</v>
      </c>
      <c r="R163" s="155">
        <v>1665.6167317626307</v>
      </c>
      <c r="S163" s="122">
        <v>0.1348</v>
      </c>
      <c r="T163" s="122">
        <v>0.27639999999999998</v>
      </c>
      <c r="U163" s="122">
        <v>0.216</v>
      </c>
      <c r="V163" s="122" t="s">
        <v>361</v>
      </c>
      <c r="W163" s="108">
        <v>3952800000</v>
      </c>
      <c r="X163" s="108">
        <v>715750000</v>
      </c>
      <c r="Y163" s="108">
        <v>737800000</v>
      </c>
      <c r="Z163" s="108">
        <f t="shared" si="19"/>
        <v>5328374.4000000004</v>
      </c>
      <c r="AA163" s="108">
        <f t="shared" si="20"/>
        <v>3571981</v>
      </c>
      <c r="AB163" s="108">
        <f t="shared" si="21"/>
        <v>9677366.5</v>
      </c>
      <c r="AC163" s="108">
        <f t="shared" si="22"/>
        <v>777011.09999999963</v>
      </c>
    </row>
    <row r="164" spans="1:29" x14ac:dyDescent="0.2">
      <c r="A164" s="124" t="s">
        <v>406</v>
      </c>
      <c r="B164" s="99">
        <f t="shared" si="16"/>
        <v>-1.3823670211335409E-3</v>
      </c>
      <c r="C164" t="s">
        <v>228</v>
      </c>
      <c r="D164" s="99">
        <f t="shared" si="17"/>
        <v>2.2433718558803536E-2</v>
      </c>
      <c r="E164" s="123">
        <v>81304291</v>
      </c>
      <c r="F164" s="219">
        <v>41314</v>
      </c>
      <c r="G164" s="93">
        <v>40800</v>
      </c>
      <c r="H164" s="93">
        <v>2942</v>
      </c>
      <c r="I164" s="93">
        <v>7455</v>
      </c>
      <c r="J164" s="93">
        <v>2810</v>
      </c>
      <c r="K164" s="108">
        <f>(F164*138.66)*SUM(1,Macrogegevens!$C$4,0.5*Macrogegevens!$C$6,Macrogegevens!$C$8)</f>
        <v>5847181.2442680011</v>
      </c>
      <c r="L164" s="108">
        <f t="shared" si="23"/>
        <v>5088855.1999999993</v>
      </c>
      <c r="M164" s="108">
        <v>7126321.3537085224</v>
      </c>
      <c r="N164" s="108">
        <v>6078237.1370255379</v>
      </c>
      <c r="O164" s="108">
        <v>0</v>
      </c>
      <c r="P164" s="108">
        <f t="shared" si="18"/>
        <v>13204558.490734059</v>
      </c>
      <c r="Q164" s="108">
        <v>79786908</v>
      </c>
      <c r="R164" s="155">
        <v>-1537.6067153145418</v>
      </c>
      <c r="S164" s="122">
        <v>6.2300000000000001E-2</v>
      </c>
      <c r="T164" s="122">
        <v>0.12670000000000001</v>
      </c>
      <c r="U164" s="122">
        <v>0.1046</v>
      </c>
      <c r="V164" s="122" t="s">
        <v>406</v>
      </c>
      <c r="W164" s="108">
        <v>3930800000</v>
      </c>
      <c r="X164" s="108">
        <v>392000000</v>
      </c>
      <c r="Y164" s="108">
        <v>398650000</v>
      </c>
      <c r="Z164" s="108">
        <f t="shared" si="19"/>
        <v>2448888.4</v>
      </c>
      <c r="AA164" s="108">
        <f t="shared" si="20"/>
        <v>913651.90000000014</v>
      </c>
      <c r="AB164" s="108">
        <f t="shared" si="21"/>
        <v>8451395.5</v>
      </c>
      <c r="AC164" s="108">
        <f t="shared" si="22"/>
        <v>5088855.1999999993</v>
      </c>
    </row>
    <row r="165" spans="1:29" x14ac:dyDescent="0.2">
      <c r="A165" s="124" t="s">
        <v>498</v>
      </c>
      <c r="B165" s="99">
        <f t="shared" si="16"/>
        <v>-1.4940400792490824E-3</v>
      </c>
      <c r="C165" t="s">
        <v>228</v>
      </c>
      <c r="D165" s="99">
        <f t="shared" si="17"/>
        <v>7.0534698521046643E-2</v>
      </c>
      <c r="E165" s="123">
        <v>55819625</v>
      </c>
      <c r="F165" s="219">
        <v>27368</v>
      </c>
      <c r="G165" s="93">
        <v>27000</v>
      </c>
      <c r="H165" s="93">
        <v>1758</v>
      </c>
      <c r="I165" s="93">
        <v>3575</v>
      </c>
      <c r="J165" s="93">
        <v>1510</v>
      </c>
      <c r="K165" s="108">
        <f>(F165*138.66)*SUM(1,Macrogegevens!$C$4,0.5*Macrogegevens!$C$6,Macrogegevens!$C$8)</f>
        <v>3873400.2104160003</v>
      </c>
      <c r="L165" s="108">
        <f t="shared" si="23"/>
        <v>1762974.6</v>
      </c>
      <c r="M165" s="108">
        <v>5686682.3777208375</v>
      </c>
      <c r="N165" s="108">
        <v>4416138.0147653958</v>
      </c>
      <c r="O165" s="108">
        <v>0</v>
      </c>
      <c r="P165" s="108">
        <f t="shared" si="18"/>
        <v>10102820.392486233</v>
      </c>
      <c r="Q165" s="108">
        <v>57615347</v>
      </c>
      <c r="R165" s="155">
        <v>1583.9554917444364</v>
      </c>
      <c r="S165" s="122">
        <v>0.105</v>
      </c>
      <c r="T165" s="122">
        <v>0.129</v>
      </c>
      <c r="U165" s="122">
        <v>0.10780000000000001</v>
      </c>
      <c r="V165" s="122" t="s">
        <v>498</v>
      </c>
      <c r="W165" s="108">
        <v>1822400000</v>
      </c>
      <c r="X165" s="108">
        <v>313950000</v>
      </c>
      <c r="Y165" s="108">
        <v>361550000</v>
      </c>
      <c r="Z165" s="108">
        <f t="shared" si="19"/>
        <v>1913519.9999999998</v>
      </c>
      <c r="AA165" s="108">
        <f t="shared" si="20"/>
        <v>794746.4</v>
      </c>
      <c r="AB165" s="108">
        <f t="shared" si="21"/>
        <v>4471241</v>
      </c>
      <c r="AC165" s="108">
        <f t="shared" si="22"/>
        <v>1762974.6</v>
      </c>
    </row>
    <row r="166" spans="1:29" x14ac:dyDescent="0.2">
      <c r="A166" s="124" t="s">
        <v>362</v>
      </c>
      <c r="B166" s="99">
        <f t="shared" si="16"/>
        <v>-6.6711053669107952E-3</v>
      </c>
      <c r="C166" t="s">
        <v>689</v>
      </c>
      <c r="D166" s="99">
        <f t="shared" si="17"/>
        <v>2.460582895365504E-2</v>
      </c>
      <c r="E166" s="123">
        <v>60370956</v>
      </c>
      <c r="F166" s="219">
        <v>34044</v>
      </c>
      <c r="G166" s="93">
        <v>32000</v>
      </c>
      <c r="H166" s="93">
        <v>2093</v>
      </c>
      <c r="I166" s="93">
        <v>5070</v>
      </c>
      <c r="J166" s="93">
        <v>1990</v>
      </c>
      <c r="K166" s="108">
        <f>(F166*138.66)*SUM(1,Macrogegevens!$C$4,0.5*Macrogegevens!$C$6,Macrogegevens!$C$8)</f>
        <v>4818256.2395280004</v>
      </c>
      <c r="L166" s="108">
        <f t="shared" si="23"/>
        <v>2279047.75</v>
      </c>
      <c r="M166" s="108">
        <v>6147037.5379529335</v>
      </c>
      <c r="N166" s="108">
        <v>3111082.2574779252</v>
      </c>
      <c r="O166" s="108">
        <v>0</v>
      </c>
      <c r="P166" s="108">
        <f t="shared" si="18"/>
        <v>9258119.7954308577</v>
      </c>
      <c r="Q166" s="108">
        <v>65510009</v>
      </c>
      <c r="R166" s="155">
        <v>1758.4876994098054</v>
      </c>
      <c r="S166" s="122">
        <v>0.10100000000000001</v>
      </c>
      <c r="T166" s="122">
        <v>0.15490000000000001</v>
      </c>
      <c r="U166" s="122">
        <v>0.124</v>
      </c>
      <c r="V166" s="122" t="s">
        <v>362</v>
      </c>
      <c r="W166" s="108">
        <v>2581600000</v>
      </c>
      <c r="X166" s="108">
        <v>327250000</v>
      </c>
      <c r="Y166" s="108">
        <v>339150000</v>
      </c>
      <c r="Z166" s="108">
        <f t="shared" si="19"/>
        <v>2607416</v>
      </c>
      <c r="AA166" s="108">
        <f t="shared" si="20"/>
        <v>927456.25</v>
      </c>
      <c r="AB166" s="108">
        <f t="shared" si="21"/>
        <v>5813920</v>
      </c>
      <c r="AC166" s="108">
        <f t="shared" si="22"/>
        <v>2279047.75</v>
      </c>
    </row>
    <row r="167" spans="1:29" x14ac:dyDescent="0.2">
      <c r="A167" s="124" t="s">
        <v>453</v>
      </c>
      <c r="B167" s="99">
        <f t="shared" si="16"/>
        <v>-6.0627168711221188E-4</v>
      </c>
      <c r="C167" t="s">
        <v>689</v>
      </c>
      <c r="D167" s="99">
        <f t="shared" si="17"/>
        <v>3.7721893491124259E-2</v>
      </c>
      <c r="E167" s="123">
        <v>66396000</v>
      </c>
      <c r="F167" s="219">
        <v>25841</v>
      </c>
      <c r="G167" s="93">
        <v>25700</v>
      </c>
      <c r="H167" s="93">
        <v>2028</v>
      </c>
      <c r="I167" s="93">
        <v>4685</v>
      </c>
      <c r="J167" s="93">
        <v>1875</v>
      </c>
      <c r="K167" s="108">
        <f>(F167*138.66)*SUM(1,Macrogegevens!$C$4,0.5*Macrogegevens!$C$6,Macrogegevens!$C$8)</f>
        <v>3657283.5003420007</v>
      </c>
      <c r="L167" s="108">
        <f t="shared" si="23"/>
        <v>1668444.05</v>
      </c>
      <c r="M167" s="108">
        <v>3791704.2081223815</v>
      </c>
      <c r="N167" s="108">
        <v>2143605.7327401829</v>
      </c>
      <c r="O167" s="108">
        <v>0</v>
      </c>
      <c r="P167" s="108">
        <f t="shared" si="18"/>
        <v>5935309.9408625644</v>
      </c>
      <c r="Q167" s="108">
        <v>62718000</v>
      </c>
      <c r="R167" s="155">
        <v>2788.9010217611731</v>
      </c>
      <c r="S167" s="122">
        <v>0.1225</v>
      </c>
      <c r="T167" s="122">
        <v>0.1575</v>
      </c>
      <c r="U167" s="122">
        <v>0.13059999999999999</v>
      </c>
      <c r="V167" s="122" t="s">
        <v>453</v>
      </c>
      <c r="W167" s="108">
        <v>2455600000</v>
      </c>
      <c r="X167" s="108">
        <v>379750000</v>
      </c>
      <c r="Y167" s="108">
        <v>411950000</v>
      </c>
      <c r="Z167" s="108">
        <f t="shared" si="19"/>
        <v>3008110</v>
      </c>
      <c r="AA167" s="108">
        <f t="shared" si="20"/>
        <v>1136112.95</v>
      </c>
      <c r="AB167" s="108">
        <f t="shared" si="21"/>
        <v>5812667</v>
      </c>
      <c r="AC167" s="108">
        <f t="shared" si="22"/>
        <v>1668444.05</v>
      </c>
    </row>
    <row r="168" spans="1:29" x14ac:dyDescent="0.2">
      <c r="A168" s="124" t="s">
        <v>284</v>
      </c>
      <c r="B168" s="99">
        <f t="shared" si="16"/>
        <v>3.3941075182398173E-3</v>
      </c>
      <c r="C168" t="s">
        <v>228</v>
      </c>
      <c r="D168" s="99">
        <f t="shared" si="17"/>
        <v>4.1081246182040315E-2</v>
      </c>
      <c r="E168" s="123">
        <v>138087000</v>
      </c>
      <c r="F168" s="219">
        <v>51429</v>
      </c>
      <c r="G168" s="93">
        <v>53000</v>
      </c>
      <c r="H168" s="93">
        <v>3274</v>
      </c>
      <c r="I168" s="93">
        <v>7420</v>
      </c>
      <c r="J168" s="93">
        <v>3005</v>
      </c>
      <c r="K168" s="108">
        <f>(F168*138.66)*SUM(1,Macrogegevens!$C$4,0.5*Macrogegevens!$C$6,Macrogegevens!$C$8)</f>
        <v>7278759.8443980012</v>
      </c>
      <c r="L168" s="108">
        <f t="shared" si="23"/>
        <v>2886302.3</v>
      </c>
      <c r="M168" s="108">
        <v>15279429.165684268</v>
      </c>
      <c r="N168" s="108">
        <v>8136218.9822847778</v>
      </c>
      <c r="O168" s="108">
        <v>0</v>
      </c>
      <c r="P168" s="108">
        <f t="shared" si="18"/>
        <v>23415648.147969045</v>
      </c>
      <c r="Q168" s="108">
        <v>140809000</v>
      </c>
      <c r="R168" s="155">
        <v>1946.1948812211544</v>
      </c>
      <c r="S168" s="122">
        <v>0.109</v>
      </c>
      <c r="T168" s="122">
        <v>0.1467</v>
      </c>
      <c r="U168" s="122">
        <v>0.1201</v>
      </c>
      <c r="V168" s="122" t="s">
        <v>284</v>
      </c>
      <c r="W168" s="108">
        <v>3186000000</v>
      </c>
      <c r="X168" s="108">
        <v>673750000</v>
      </c>
      <c r="Y168" s="108">
        <v>744450000</v>
      </c>
      <c r="Z168" s="108">
        <f t="shared" si="19"/>
        <v>3472740</v>
      </c>
      <c r="AA168" s="108">
        <f t="shared" si="20"/>
        <v>1882475.7000000002</v>
      </c>
      <c r="AB168" s="108">
        <f t="shared" si="21"/>
        <v>8241518</v>
      </c>
      <c r="AC168" s="108">
        <f t="shared" si="22"/>
        <v>2886302.3</v>
      </c>
    </row>
    <row r="169" spans="1:29" x14ac:dyDescent="0.2">
      <c r="A169" s="124" t="s">
        <v>499</v>
      </c>
      <c r="B169" s="99">
        <f t="shared" si="16"/>
        <v>4.7824007651841227E-4</v>
      </c>
      <c r="C169" t="s">
        <v>689</v>
      </c>
      <c r="D169" s="99">
        <f t="shared" si="17"/>
        <v>5.6694813027744269E-2</v>
      </c>
      <c r="E169" s="123">
        <v>22568400</v>
      </c>
      <c r="F169" s="219">
        <v>12546</v>
      </c>
      <c r="G169" s="93">
        <v>12600</v>
      </c>
      <c r="H169" s="93">
        <v>829</v>
      </c>
      <c r="I169" s="93">
        <v>1870</v>
      </c>
      <c r="J169" s="93">
        <v>735</v>
      </c>
      <c r="K169" s="108">
        <f>(F169*138.66)*SUM(1,Macrogegevens!$C$4,0.5*Macrogegevens!$C$6,Macrogegevens!$C$8)</f>
        <v>1775638.6670520001</v>
      </c>
      <c r="L169" s="108">
        <f t="shared" si="23"/>
        <v>597761.79999999981</v>
      </c>
      <c r="M169" s="108">
        <v>1622233.1865063063</v>
      </c>
      <c r="N169" s="108">
        <v>1537941.4875721307</v>
      </c>
      <c r="O169" s="108">
        <v>0</v>
      </c>
      <c r="P169" s="108">
        <f t="shared" si="18"/>
        <v>3160174.674078437</v>
      </c>
      <c r="Q169" s="108">
        <v>22844125</v>
      </c>
      <c r="R169" s="155">
        <v>905.74100951459445</v>
      </c>
      <c r="S169" s="122">
        <v>0.10979999999999999</v>
      </c>
      <c r="T169" s="122">
        <v>0.20680000000000001</v>
      </c>
      <c r="U169" s="122">
        <v>0.16639999999999999</v>
      </c>
      <c r="V169" s="122" t="s">
        <v>499</v>
      </c>
      <c r="W169" s="108">
        <v>896400000</v>
      </c>
      <c r="X169" s="108">
        <v>158200000</v>
      </c>
      <c r="Y169" s="108">
        <v>170100000</v>
      </c>
      <c r="Z169" s="108">
        <f t="shared" si="19"/>
        <v>984247.20000000007</v>
      </c>
      <c r="AA169" s="108">
        <f t="shared" si="20"/>
        <v>610204</v>
      </c>
      <c r="AB169" s="108">
        <f t="shared" si="21"/>
        <v>2192213</v>
      </c>
      <c r="AC169" s="108">
        <f t="shared" si="22"/>
        <v>597761.79999999981</v>
      </c>
    </row>
    <row r="170" spans="1:29" x14ac:dyDescent="0.2">
      <c r="A170" s="124" t="s">
        <v>454</v>
      </c>
      <c r="B170" s="99">
        <f t="shared" si="16"/>
        <v>1.3046112796226738E-2</v>
      </c>
      <c r="C170" t="s">
        <v>228</v>
      </c>
      <c r="D170" s="99">
        <f t="shared" si="17"/>
        <v>3.0609024928999685E-2</v>
      </c>
      <c r="E170" s="123">
        <v>137129000</v>
      </c>
      <c r="F170" s="219">
        <v>63629</v>
      </c>
      <c r="G170" s="93">
        <v>71100</v>
      </c>
      <c r="H170" s="93">
        <v>3169</v>
      </c>
      <c r="I170" s="93">
        <v>8025</v>
      </c>
      <c r="J170" s="93">
        <v>2975</v>
      </c>
      <c r="K170" s="108">
        <f>(F170*138.66)*SUM(1,Macrogegevens!$C$4,0.5*Macrogegevens!$C$6,Macrogegevens!$C$8)</f>
        <v>9005429.0407980029</v>
      </c>
      <c r="L170" s="108">
        <f t="shared" si="23"/>
        <v>4697181.4000000004</v>
      </c>
      <c r="M170" s="108">
        <v>13394847.023638532</v>
      </c>
      <c r="N170" s="108">
        <v>6737533.6227875035</v>
      </c>
      <c r="O170" s="108">
        <v>0</v>
      </c>
      <c r="P170" s="108">
        <f t="shared" si="18"/>
        <v>20132380.646426037</v>
      </c>
      <c r="Q170" s="108">
        <v>140543000</v>
      </c>
      <c r="R170" s="155">
        <v>2245.3095684803002</v>
      </c>
      <c r="S170" s="122">
        <v>8.9499999999999996E-2</v>
      </c>
      <c r="T170" s="122">
        <v>0.1903</v>
      </c>
      <c r="U170" s="122">
        <v>0.1346</v>
      </c>
      <c r="V170" s="122" t="s">
        <v>454</v>
      </c>
      <c r="W170" s="108">
        <v>4941200000</v>
      </c>
      <c r="X170" s="108">
        <v>824600000</v>
      </c>
      <c r="Y170" s="108">
        <v>828800000</v>
      </c>
      <c r="Z170" s="108">
        <f t="shared" si="19"/>
        <v>4422374</v>
      </c>
      <c r="AA170" s="108">
        <f t="shared" si="20"/>
        <v>2684778.6</v>
      </c>
      <c r="AB170" s="108">
        <f t="shared" si="21"/>
        <v>11804334</v>
      </c>
      <c r="AC170" s="108">
        <f t="shared" si="22"/>
        <v>4697181.4000000004</v>
      </c>
    </row>
    <row r="171" spans="1:29" x14ac:dyDescent="0.2">
      <c r="A171" s="124" t="s">
        <v>583</v>
      </c>
      <c r="B171" s="99">
        <f t="shared" si="16"/>
        <v>-1.750251315076278E-3</v>
      </c>
      <c r="C171" t="s">
        <v>621</v>
      </c>
      <c r="D171" s="99">
        <f t="shared" si="17"/>
        <v>2.4762381190595296E-2</v>
      </c>
      <c r="E171" s="123">
        <v>156907000</v>
      </c>
      <c r="F171" s="219">
        <v>46533</v>
      </c>
      <c r="G171" s="93">
        <v>45800</v>
      </c>
      <c r="H171" s="93">
        <v>1999</v>
      </c>
      <c r="I171" s="93">
        <v>4685</v>
      </c>
      <c r="J171" s="93">
        <v>1900</v>
      </c>
      <c r="K171" s="108">
        <f>(F171*138.66)*SUM(1,Macrogegevens!$C$4,0.5*Macrogegevens!$C$6,Macrogegevens!$C$8)</f>
        <v>6585827.6816460015</v>
      </c>
      <c r="L171" s="108">
        <f t="shared" si="23"/>
        <v>0</v>
      </c>
      <c r="M171" s="108">
        <v>14895874.607008878</v>
      </c>
      <c r="N171" s="108">
        <v>10577296.440106684</v>
      </c>
      <c r="O171" s="108">
        <v>0</v>
      </c>
      <c r="P171" s="108">
        <f t="shared" si="18"/>
        <v>25473171.047115564</v>
      </c>
      <c r="Q171" s="108">
        <v>157588000</v>
      </c>
      <c r="R171" s="155">
        <v>1152.6507843301736</v>
      </c>
      <c r="S171" s="122">
        <v>0.1847</v>
      </c>
      <c r="T171" s="122">
        <v>0.3085</v>
      </c>
      <c r="U171" s="122">
        <v>0.2475</v>
      </c>
      <c r="V171" s="122" t="s">
        <v>583</v>
      </c>
      <c r="W171" s="108">
        <v>2432800000</v>
      </c>
      <c r="X171" s="108">
        <v>573300000</v>
      </c>
      <c r="Y171" s="108">
        <v>599900000</v>
      </c>
      <c r="Z171" s="108">
        <f t="shared" si="19"/>
        <v>4493381.6000000006</v>
      </c>
      <c r="AA171" s="108">
        <f t="shared" si="20"/>
        <v>3253383</v>
      </c>
      <c r="AB171" s="108">
        <f t="shared" si="21"/>
        <v>6454740</v>
      </c>
      <c r="AC171" s="108">
        <f t="shared" si="22"/>
        <v>-1292024.6000000006</v>
      </c>
    </row>
    <row r="172" spans="1:29" x14ac:dyDescent="0.2">
      <c r="A172" s="124" t="s">
        <v>407</v>
      </c>
      <c r="B172" s="99">
        <f t="shared" si="16"/>
        <v>2.8235993461138355E-3</v>
      </c>
      <c r="C172" t="s">
        <v>689</v>
      </c>
      <c r="D172" s="99">
        <f t="shared" si="17"/>
        <v>3.7249283667621778E-2</v>
      </c>
      <c r="E172" s="123">
        <v>42259630</v>
      </c>
      <c r="F172" s="219">
        <v>22430</v>
      </c>
      <c r="G172" s="93">
        <v>23000</v>
      </c>
      <c r="H172" s="93">
        <v>1745</v>
      </c>
      <c r="I172" s="93">
        <v>3845</v>
      </c>
      <c r="J172" s="93">
        <v>1615</v>
      </c>
      <c r="K172" s="108">
        <f>(F172*138.66)*SUM(1,Macrogegevens!$C$4,0.5*Macrogegevens!$C$6,Macrogegevens!$C$8)</f>
        <v>3174523.7766600004</v>
      </c>
      <c r="L172" s="108">
        <f t="shared" si="23"/>
        <v>2645578.7000000002</v>
      </c>
      <c r="M172" s="108">
        <v>4344626.9424771899</v>
      </c>
      <c r="N172" s="108">
        <v>2306150.897062772</v>
      </c>
      <c r="O172" s="108">
        <v>0</v>
      </c>
      <c r="P172" s="108">
        <f t="shared" si="18"/>
        <v>6650777.8395399619</v>
      </c>
      <c r="Q172" s="108">
        <v>40462857</v>
      </c>
      <c r="R172" s="155">
        <v>677.13596431335066</v>
      </c>
      <c r="S172" s="122">
        <v>6.2300000000000001E-2</v>
      </c>
      <c r="T172" s="122">
        <v>6.2300000000000001E-2</v>
      </c>
      <c r="U172" s="122">
        <v>4.8899999999999999E-2</v>
      </c>
      <c r="V172" s="122" t="s">
        <v>407</v>
      </c>
      <c r="W172" s="108">
        <v>1629200000</v>
      </c>
      <c r="X172" s="108">
        <v>283500000</v>
      </c>
      <c r="Y172" s="108">
        <v>317800000</v>
      </c>
      <c r="Z172" s="108">
        <f t="shared" si="19"/>
        <v>1014991.6</v>
      </c>
      <c r="AA172" s="108">
        <f t="shared" si="20"/>
        <v>332024.69999999995</v>
      </c>
      <c r="AB172" s="108">
        <f t="shared" si="21"/>
        <v>3992595</v>
      </c>
      <c r="AC172" s="108">
        <f t="shared" si="22"/>
        <v>2645578.7000000002</v>
      </c>
    </row>
    <row r="173" spans="1:29" x14ac:dyDescent="0.2">
      <c r="A173" s="124" t="s">
        <v>612</v>
      </c>
      <c r="B173" s="99">
        <f t="shared" si="16"/>
        <v>-2.0173684164956664E-3</v>
      </c>
      <c r="C173" t="s">
        <v>228</v>
      </c>
      <c r="D173" s="99">
        <f t="shared" si="17"/>
        <v>9.627329192546584E-2</v>
      </c>
      <c r="E173" s="123">
        <v>30539691</v>
      </c>
      <c r="F173" s="219">
        <v>12833</v>
      </c>
      <c r="G173" s="93">
        <v>12600</v>
      </c>
      <c r="H173" s="93">
        <v>966</v>
      </c>
      <c r="I173" s="93">
        <v>1930</v>
      </c>
      <c r="J173" s="93">
        <v>780</v>
      </c>
      <c r="K173" s="108">
        <f>(F173*138.66)*SUM(1,Macrogegevens!$C$4,0.5*Macrogegevens!$C$6,Macrogegevens!$C$8)</f>
        <v>1816257.8522460004</v>
      </c>
      <c r="L173" s="108">
        <f t="shared" si="23"/>
        <v>418821.54999999981</v>
      </c>
      <c r="M173" s="108">
        <v>2665237.4635709161</v>
      </c>
      <c r="N173" s="108">
        <v>3055622.2818870842</v>
      </c>
      <c r="O173" s="108">
        <v>0</v>
      </c>
      <c r="P173" s="108">
        <f t="shared" si="18"/>
        <v>5720859.7454580003</v>
      </c>
      <c r="Q173" s="108">
        <v>30704223</v>
      </c>
      <c r="R173" s="155">
        <v>2365.3979238754328</v>
      </c>
      <c r="S173" s="122">
        <v>0.1174</v>
      </c>
      <c r="T173" s="122">
        <v>0.20630000000000001</v>
      </c>
      <c r="U173" s="122">
        <v>0.16389999999999999</v>
      </c>
      <c r="V173" s="122" t="s">
        <v>633</v>
      </c>
      <c r="W173" s="108">
        <v>701600000</v>
      </c>
      <c r="X173" s="108">
        <v>135100000</v>
      </c>
      <c r="Y173" s="108">
        <v>155750000</v>
      </c>
      <c r="Z173" s="108">
        <f t="shared" si="19"/>
        <v>823678.40000000014</v>
      </c>
      <c r="AA173" s="108">
        <f t="shared" si="20"/>
        <v>533985.55000000005</v>
      </c>
      <c r="AB173" s="108">
        <f t="shared" si="21"/>
        <v>1776485.5</v>
      </c>
      <c r="AC173" s="108">
        <f t="shared" si="22"/>
        <v>418821.54999999981</v>
      </c>
    </row>
    <row r="174" spans="1:29" x14ac:dyDescent="0.2">
      <c r="A174" s="124" t="s">
        <v>455</v>
      </c>
      <c r="B174" s="99">
        <f t="shared" si="16"/>
        <v>-9.0797596594832473E-3</v>
      </c>
      <c r="C174" t="s">
        <v>689</v>
      </c>
      <c r="D174" s="99">
        <f t="shared" si="17"/>
        <v>5.213903743315508E-2</v>
      </c>
      <c r="E174" s="123">
        <v>18779400</v>
      </c>
      <c r="F174" s="219">
        <v>10781</v>
      </c>
      <c r="G174" s="93">
        <v>9900</v>
      </c>
      <c r="H174" s="93">
        <v>748</v>
      </c>
      <c r="I174" s="93">
        <v>1760</v>
      </c>
      <c r="J174" s="93">
        <v>670</v>
      </c>
      <c r="K174" s="108">
        <f>(F174*138.66)*SUM(1,Macrogegevens!$C$4,0.5*Macrogegevens!$C$6,Macrogegevens!$C$8)</f>
        <v>1525837.7546220003</v>
      </c>
      <c r="L174" s="108">
        <f t="shared" si="23"/>
        <v>420192</v>
      </c>
      <c r="M174" s="108">
        <v>2370766.9277340733</v>
      </c>
      <c r="N174" s="108">
        <v>988964.84528312064</v>
      </c>
      <c r="O174" s="108">
        <v>0</v>
      </c>
      <c r="P174" s="108">
        <f t="shared" si="18"/>
        <v>3359731.7730171941</v>
      </c>
      <c r="Q174" s="108">
        <v>18262900</v>
      </c>
      <c r="R174" s="155">
        <v>1044.8994582682949</v>
      </c>
      <c r="S174" s="122">
        <v>0.125</v>
      </c>
      <c r="T174" s="122">
        <v>0.20649999999999999</v>
      </c>
      <c r="U174" s="122">
        <v>0.17050000000000001</v>
      </c>
      <c r="V174" s="122" t="s">
        <v>455</v>
      </c>
      <c r="W174" s="108">
        <v>805200000</v>
      </c>
      <c r="X174" s="108">
        <v>82250000</v>
      </c>
      <c r="Y174" s="108">
        <v>94150000</v>
      </c>
      <c r="Z174" s="108">
        <f t="shared" si="19"/>
        <v>1006500</v>
      </c>
      <c r="AA174" s="108">
        <f t="shared" si="20"/>
        <v>330372</v>
      </c>
      <c r="AB174" s="108">
        <f t="shared" si="21"/>
        <v>1757064</v>
      </c>
      <c r="AC174" s="108">
        <f t="shared" si="22"/>
        <v>420192</v>
      </c>
    </row>
    <row r="175" spans="1:29" x14ac:dyDescent="0.2">
      <c r="A175" s="124" t="s">
        <v>456</v>
      </c>
      <c r="B175" s="99">
        <f t="shared" si="16"/>
        <v>1.2695563456721936E-3</v>
      </c>
      <c r="C175" t="s">
        <v>689</v>
      </c>
      <c r="D175" s="99">
        <f t="shared" si="17"/>
        <v>2.4107701941139637E-2</v>
      </c>
      <c r="E175" s="123">
        <v>57958000</v>
      </c>
      <c r="F175" s="219">
        <v>28969</v>
      </c>
      <c r="G175" s="93">
        <v>29300</v>
      </c>
      <c r="H175" s="93">
        <v>1597</v>
      </c>
      <c r="I175" s="93">
        <v>4200</v>
      </c>
      <c r="J175" s="93">
        <v>1520</v>
      </c>
      <c r="K175" s="108">
        <f>(F175*138.66)*SUM(1,Macrogegevens!$C$4,0.5*Macrogegevens!$C$6,Macrogegevens!$C$8)</f>
        <v>4099990.1598780006</v>
      </c>
      <c r="L175" s="108">
        <f t="shared" si="23"/>
        <v>569897.30000000028</v>
      </c>
      <c r="M175" s="108">
        <v>7444111.3974586157</v>
      </c>
      <c r="N175" s="108">
        <v>2762428.4906464862</v>
      </c>
      <c r="O175" s="108">
        <v>0</v>
      </c>
      <c r="P175" s="108">
        <f t="shared" si="18"/>
        <v>10206539.888105102</v>
      </c>
      <c r="Q175" s="108">
        <v>58568000</v>
      </c>
      <c r="R175" s="155">
        <v>562.92517006802723</v>
      </c>
      <c r="S175" s="122">
        <v>0.1328</v>
      </c>
      <c r="T175" s="122">
        <v>0.27329999999999999</v>
      </c>
      <c r="U175" s="122">
        <v>0.21859999999999999</v>
      </c>
      <c r="V175" s="122" t="s">
        <v>456</v>
      </c>
      <c r="W175" s="108">
        <v>2162800000</v>
      </c>
      <c r="X175" s="108">
        <v>319900000</v>
      </c>
      <c r="Y175" s="108">
        <v>322350000</v>
      </c>
      <c r="Z175" s="108">
        <f t="shared" si="19"/>
        <v>2872198.4</v>
      </c>
      <c r="AA175" s="108">
        <f t="shared" si="20"/>
        <v>1578943.7999999998</v>
      </c>
      <c r="AB175" s="108">
        <f t="shared" si="21"/>
        <v>5021039.5</v>
      </c>
      <c r="AC175" s="108">
        <f t="shared" si="22"/>
        <v>569897.30000000028</v>
      </c>
    </row>
    <row r="176" spans="1:29" x14ac:dyDescent="0.2">
      <c r="A176" s="124" t="s">
        <v>742</v>
      </c>
      <c r="B176" s="99">
        <v>-5.2773316760912061E-3</v>
      </c>
      <c r="C176" t="s">
        <v>228</v>
      </c>
      <c r="D176" s="99">
        <v>6.0587515299877603E-2</v>
      </c>
      <c r="E176" s="123">
        <v>109802228</v>
      </c>
      <c r="F176" s="219">
        <v>54173</v>
      </c>
      <c r="G176" s="93">
        <v>51600</v>
      </c>
      <c r="H176" s="93">
        <v>4085</v>
      </c>
      <c r="I176" s="93">
        <v>9440</v>
      </c>
      <c r="J176" s="108">
        <v>3590</v>
      </c>
      <c r="K176" s="108">
        <v>7667118.8833260005</v>
      </c>
      <c r="L176" s="108">
        <v>2148827.5</v>
      </c>
      <c r="M176" s="108">
        <v>10715819.233406235</v>
      </c>
      <c r="N176" s="108">
        <v>4230625.1125412257</v>
      </c>
      <c r="O176" s="108">
        <v>0</v>
      </c>
      <c r="P176" s="108">
        <v>14946444.345947459</v>
      </c>
      <c r="Q176" s="108">
        <v>105750040</v>
      </c>
      <c r="R176" s="155">
        <v>-63</v>
      </c>
      <c r="S176" s="122">
        <v>0.12</v>
      </c>
      <c r="T176" s="122">
        <v>0.22</v>
      </c>
      <c r="U176" s="122">
        <v>0.19</v>
      </c>
      <c r="V176" s="122" t="s">
        <v>742</v>
      </c>
      <c r="W176" s="108">
        <v>4240800000</v>
      </c>
      <c r="X176" s="108">
        <v>667100000</v>
      </c>
      <c r="Y176" s="108">
        <v>724850000</v>
      </c>
      <c r="Z176" s="108">
        <v>5088960</v>
      </c>
      <c r="AA176" s="108">
        <v>2844835</v>
      </c>
      <c r="AB176" s="108">
        <v>10082622.5</v>
      </c>
      <c r="AC176" s="108">
        <v>2148827.5</v>
      </c>
    </row>
    <row r="177" spans="1:29" x14ac:dyDescent="0.2">
      <c r="A177" s="124" t="s">
        <v>542</v>
      </c>
      <c r="B177" s="99">
        <f t="shared" si="16"/>
        <v>-4.6099776347619699E-3</v>
      </c>
      <c r="C177" t="s">
        <v>689</v>
      </c>
      <c r="D177" s="99">
        <f t="shared" si="17"/>
        <v>3.6392405063291139E-2</v>
      </c>
      <c r="E177" s="123">
        <v>40389453</v>
      </c>
      <c r="F177" s="219">
        <v>21909</v>
      </c>
      <c r="G177" s="93">
        <v>21000</v>
      </c>
      <c r="H177" s="93">
        <v>1580</v>
      </c>
      <c r="I177" s="93">
        <v>3695</v>
      </c>
      <c r="J177" s="93">
        <v>1465</v>
      </c>
      <c r="K177" s="108">
        <f>(F177*138.66)*SUM(1,Macrogegevens!$C$4,0.5*Macrogegevens!$C$6,Macrogegevens!$C$8)</f>
        <v>3100786.5101580005</v>
      </c>
      <c r="L177" s="108">
        <f t="shared" si="23"/>
        <v>1880738.7619999999</v>
      </c>
      <c r="M177" s="108">
        <v>4056249.214173791</v>
      </c>
      <c r="N177" s="108">
        <v>2553713.2850622437</v>
      </c>
      <c r="O177" s="108">
        <v>0</v>
      </c>
      <c r="P177" s="108">
        <f t="shared" si="18"/>
        <v>6609962.4992360342</v>
      </c>
      <c r="Q177" s="108">
        <v>41454172</v>
      </c>
      <c r="R177" s="155">
        <v>245.72540660766415</v>
      </c>
      <c r="S177" s="122">
        <v>8.9109999999999995E-2</v>
      </c>
      <c r="T177" s="122">
        <v>0.14880099999999999</v>
      </c>
      <c r="U177" s="122">
        <v>0.123391</v>
      </c>
      <c r="V177" s="122" t="s">
        <v>542</v>
      </c>
      <c r="W177" s="108">
        <v>1789200000</v>
      </c>
      <c r="X177" s="108">
        <v>282100000</v>
      </c>
      <c r="Y177" s="108">
        <v>336700000</v>
      </c>
      <c r="Z177" s="108">
        <f t="shared" si="19"/>
        <v>1594356.1199999999</v>
      </c>
      <c r="AA177" s="108">
        <f t="shared" si="20"/>
        <v>835225.11800000002</v>
      </c>
      <c r="AB177" s="108">
        <f t="shared" si="21"/>
        <v>4310320</v>
      </c>
      <c r="AC177" s="108">
        <f t="shared" si="22"/>
        <v>1880738.7619999999</v>
      </c>
    </row>
    <row r="178" spans="1:29" x14ac:dyDescent="0.2">
      <c r="A178" s="124" t="s">
        <v>543</v>
      </c>
      <c r="B178" s="99">
        <f t="shared" si="16"/>
        <v>-1.1541368684225827E-2</v>
      </c>
      <c r="C178" t="s">
        <v>689</v>
      </c>
      <c r="D178" s="99">
        <f t="shared" si="17"/>
        <v>5.1542207792207792E-2</v>
      </c>
      <c r="E178" s="123">
        <v>29793000</v>
      </c>
      <c r="F178" s="219">
        <v>15288</v>
      </c>
      <c r="G178" s="93">
        <v>13700</v>
      </c>
      <c r="H178" s="93">
        <v>1232</v>
      </c>
      <c r="I178" s="93">
        <v>2765</v>
      </c>
      <c r="J178" s="93">
        <v>1105</v>
      </c>
      <c r="K178" s="108">
        <f>(F178*138.66)*SUM(1,Macrogegevens!$C$4,0.5*Macrogegevens!$C$6,Macrogegevens!$C$8)</f>
        <v>2163714.6454560002</v>
      </c>
      <c r="L178" s="108">
        <f t="shared" si="23"/>
        <v>1116411.45</v>
      </c>
      <c r="M178" s="108">
        <v>3781772.2302284394</v>
      </c>
      <c r="N178" s="108">
        <v>1722380.1592693087</v>
      </c>
      <c r="O178" s="108">
        <v>0</v>
      </c>
      <c r="P178" s="108">
        <f t="shared" si="18"/>
        <v>5504152.3894977476</v>
      </c>
      <c r="Q178" s="108">
        <v>30122000</v>
      </c>
      <c r="R178" s="155">
        <v>332.21386351423968</v>
      </c>
      <c r="S178" s="122">
        <v>9.1399999999999995E-2</v>
      </c>
      <c r="T178" s="122">
        <v>0.2152</v>
      </c>
      <c r="U178" s="122">
        <v>0.16270000000000001</v>
      </c>
      <c r="V178" s="122" t="s">
        <v>543</v>
      </c>
      <c r="W178" s="108">
        <v>1313200000</v>
      </c>
      <c r="X178" s="108">
        <v>196700000</v>
      </c>
      <c r="Y178" s="108">
        <v>228550000</v>
      </c>
      <c r="Z178" s="108">
        <f t="shared" si="19"/>
        <v>1200264.8</v>
      </c>
      <c r="AA178" s="108">
        <f t="shared" si="20"/>
        <v>795149.25</v>
      </c>
      <c r="AB178" s="108">
        <f t="shared" si="21"/>
        <v>3111825.5</v>
      </c>
      <c r="AC178" s="108">
        <f t="shared" si="22"/>
        <v>1116411.45</v>
      </c>
    </row>
    <row r="179" spans="1:29" x14ac:dyDescent="0.2">
      <c r="A179" s="124" t="s">
        <v>584</v>
      </c>
      <c r="B179" s="99">
        <f t="shared" si="16"/>
        <v>-1.9168343154883772E-3</v>
      </c>
      <c r="C179" t="s">
        <v>621</v>
      </c>
      <c r="D179" s="99">
        <f t="shared" si="17"/>
        <v>3.8850284270372709E-2</v>
      </c>
      <c r="E179" s="123">
        <v>99895848</v>
      </c>
      <c r="F179" s="219">
        <v>37446</v>
      </c>
      <c r="G179" s="93">
        <v>36800</v>
      </c>
      <c r="H179" s="93">
        <v>1583</v>
      </c>
      <c r="I179" s="93">
        <v>3525</v>
      </c>
      <c r="J179" s="93">
        <v>1460</v>
      </c>
      <c r="K179" s="108">
        <f>(F179*138.66)*SUM(1,Macrogegevens!$C$4,0.5*Macrogegevens!$C$6,Macrogegevens!$C$8)</f>
        <v>5299742.1908520013</v>
      </c>
      <c r="L179" s="108">
        <f t="shared" si="23"/>
        <v>0</v>
      </c>
      <c r="M179" s="108">
        <v>9790591.7172478139</v>
      </c>
      <c r="N179" s="108">
        <v>7357517.1394616123</v>
      </c>
      <c r="O179" s="108">
        <v>0</v>
      </c>
      <c r="P179" s="108">
        <f t="shared" si="18"/>
        <v>17148108.856709428</v>
      </c>
      <c r="Q179" s="108">
        <v>100682955</v>
      </c>
      <c r="R179" s="155">
        <v>-253.89395948721949</v>
      </c>
      <c r="S179" s="122">
        <v>0.179309</v>
      </c>
      <c r="T179" s="122">
        <v>0.24468899999999999</v>
      </c>
      <c r="U179" s="122">
        <v>0.193798</v>
      </c>
      <c r="V179" s="122" t="s">
        <v>584</v>
      </c>
      <c r="W179" s="108">
        <v>2123600000</v>
      </c>
      <c r="X179" s="108">
        <v>340200000</v>
      </c>
      <c r="Y179" s="108">
        <v>364000000</v>
      </c>
      <c r="Z179" s="108">
        <f t="shared" si="19"/>
        <v>3807805.9240000001</v>
      </c>
      <c r="AA179" s="108">
        <f t="shared" si="20"/>
        <v>1537856.6979999999</v>
      </c>
      <c r="AB179" s="108">
        <f t="shared" si="21"/>
        <v>5061762</v>
      </c>
      <c r="AC179" s="108">
        <f t="shared" si="22"/>
        <v>-283900.62199999997</v>
      </c>
    </row>
    <row r="180" spans="1:29" x14ac:dyDescent="0.2">
      <c r="A180" s="124" t="s">
        <v>408</v>
      </c>
      <c r="B180" s="99">
        <f t="shared" si="16"/>
        <v>-8.4775335098630864E-3</v>
      </c>
      <c r="C180" t="s">
        <v>689</v>
      </c>
      <c r="D180" s="99">
        <f t="shared" si="17"/>
        <v>5.483490566037736E-2</v>
      </c>
      <c r="E180" s="123">
        <v>22031000</v>
      </c>
      <c r="F180" s="219">
        <v>10826</v>
      </c>
      <c r="G180" s="93">
        <v>10000</v>
      </c>
      <c r="H180" s="93">
        <v>848</v>
      </c>
      <c r="I180" s="93">
        <v>2115</v>
      </c>
      <c r="J180" s="93">
        <v>755</v>
      </c>
      <c r="K180" s="108">
        <f>(F180*138.66)*SUM(1,Macrogegevens!$C$4,0.5*Macrogegevens!$C$6,Macrogegevens!$C$8)</f>
        <v>1532206.6164120003</v>
      </c>
      <c r="L180" s="108">
        <f t="shared" si="23"/>
        <v>641837.74000000022</v>
      </c>
      <c r="M180" s="108">
        <v>1678679.5497586627</v>
      </c>
      <c r="N180" s="108">
        <v>794237.13701564842</v>
      </c>
      <c r="O180" s="108">
        <v>0</v>
      </c>
      <c r="P180" s="108">
        <f t="shared" si="18"/>
        <v>2472916.6867743111</v>
      </c>
      <c r="Q180" s="108">
        <v>22607000</v>
      </c>
      <c r="R180" s="155">
        <v>1973.4193296198573</v>
      </c>
      <c r="S180" s="122">
        <v>0.11237999999999999</v>
      </c>
      <c r="T180" s="122">
        <v>0.21196000000000001</v>
      </c>
      <c r="U180" s="122">
        <v>0.18265000000000001</v>
      </c>
      <c r="V180" s="122" t="s">
        <v>408</v>
      </c>
      <c r="W180" s="108">
        <v>1020400000</v>
      </c>
      <c r="X180" s="108">
        <v>102900000</v>
      </c>
      <c r="Y180" s="108">
        <v>110600000</v>
      </c>
      <c r="Z180" s="108">
        <f t="shared" si="19"/>
        <v>1146725.5199999998</v>
      </c>
      <c r="AA180" s="108">
        <f t="shared" si="20"/>
        <v>420117.74</v>
      </c>
      <c r="AB180" s="108">
        <f t="shared" si="21"/>
        <v>2208681</v>
      </c>
      <c r="AC180" s="108">
        <f t="shared" si="22"/>
        <v>641837.74000000022</v>
      </c>
    </row>
    <row r="181" spans="1:29" x14ac:dyDescent="0.2">
      <c r="A181" s="124" t="s">
        <v>409</v>
      </c>
      <c r="B181" s="99">
        <f t="shared" si="16"/>
        <v>8.6732387828147709E-4</v>
      </c>
      <c r="C181" t="s">
        <v>689</v>
      </c>
      <c r="D181" s="99">
        <f t="shared" si="17"/>
        <v>2.5962660443407233E-2</v>
      </c>
      <c r="E181" s="123">
        <v>58012000</v>
      </c>
      <c r="F181" s="219">
        <v>27287</v>
      </c>
      <c r="G181" s="93">
        <v>27500</v>
      </c>
      <c r="H181" s="93">
        <v>1714</v>
      </c>
      <c r="I181" s="93">
        <v>4320</v>
      </c>
      <c r="J181" s="93">
        <v>1625</v>
      </c>
      <c r="K181" s="108">
        <f>(F181*138.66)*SUM(1,Macrogegevens!$C$4,0.5*Macrogegevens!$C$6,Macrogegevens!$C$8)</f>
        <v>3861936.2591940006</v>
      </c>
      <c r="L181" s="108">
        <f t="shared" si="23"/>
        <v>1618681.4</v>
      </c>
      <c r="M181" s="108">
        <v>5551466.6965525914</v>
      </c>
      <c r="N181" s="108">
        <v>3180727.5799002554</v>
      </c>
      <c r="O181" s="108">
        <v>0</v>
      </c>
      <c r="P181" s="108">
        <f t="shared" si="18"/>
        <v>8732194.2764528468</v>
      </c>
      <c r="Q181" s="108">
        <v>55329000</v>
      </c>
      <c r="R181" s="155">
        <v>2045.4832127620107</v>
      </c>
      <c r="S181" s="122">
        <v>0.10829999999999999</v>
      </c>
      <c r="T181" s="122">
        <v>0.19220000000000001</v>
      </c>
      <c r="U181" s="122">
        <v>0.15390000000000001</v>
      </c>
      <c r="V181" s="122" t="s">
        <v>409</v>
      </c>
      <c r="W181" s="108">
        <v>2239200000</v>
      </c>
      <c r="X181" s="108">
        <v>278950000</v>
      </c>
      <c r="Y181" s="108">
        <v>288400000</v>
      </c>
      <c r="Z181" s="108">
        <f t="shared" si="19"/>
        <v>2425053.6</v>
      </c>
      <c r="AA181" s="108">
        <f t="shared" si="20"/>
        <v>979989.5</v>
      </c>
      <c r="AB181" s="108">
        <f t="shared" si="21"/>
        <v>5023724.5</v>
      </c>
      <c r="AC181" s="108">
        <f t="shared" si="22"/>
        <v>1618681.4</v>
      </c>
    </row>
    <row r="182" spans="1:29" x14ac:dyDescent="0.2">
      <c r="A182" s="124" t="s">
        <v>457</v>
      </c>
      <c r="B182" s="99">
        <f t="shared" si="16"/>
        <v>1.81389897460312E-2</v>
      </c>
      <c r="C182" t="s">
        <v>689</v>
      </c>
      <c r="D182" s="99">
        <f t="shared" si="17"/>
        <v>3.6672409549593894E-2</v>
      </c>
      <c r="E182" s="123">
        <v>159287000</v>
      </c>
      <c r="F182" s="219">
        <v>58113</v>
      </c>
      <c r="G182" s="93">
        <v>67600</v>
      </c>
      <c r="H182" s="93">
        <v>4063</v>
      </c>
      <c r="I182" s="93">
        <v>10055</v>
      </c>
      <c r="J182" s="93">
        <v>3765</v>
      </c>
      <c r="K182" s="108">
        <f>(F182*138.66)*SUM(1,Macrogegevens!$C$4,0.5*Macrogegevens!$C$6,Macrogegevens!$C$8)</f>
        <v>8224748.1156060016</v>
      </c>
      <c r="L182" s="108">
        <f t="shared" si="23"/>
        <v>2366145.2000000002</v>
      </c>
      <c r="M182" s="108">
        <v>8645690.4726020619</v>
      </c>
      <c r="N182" s="108">
        <v>3273291.5769898072</v>
      </c>
      <c r="O182" s="108">
        <v>0</v>
      </c>
      <c r="P182" s="108">
        <f t="shared" si="18"/>
        <v>11918982.049591869</v>
      </c>
      <c r="Q182" s="108">
        <v>199874000</v>
      </c>
      <c r="R182" s="155">
        <v>5008.0281556168557</v>
      </c>
      <c r="S182" s="122">
        <v>0.12620000000000001</v>
      </c>
      <c r="T182" s="122">
        <v>0.20380000000000001</v>
      </c>
      <c r="U182" s="122">
        <v>0.1633</v>
      </c>
      <c r="V182" s="122" t="s">
        <v>457</v>
      </c>
      <c r="W182" s="108">
        <v>4657200000</v>
      </c>
      <c r="X182" s="108">
        <v>1067499999.9999999</v>
      </c>
      <c r="Y182" s="108">
        <v>1094800000</v>
      </c>
      <c r="Z182" s="108">
        <f t="shared" si="19"/>
        <v>5877386.4000000004</v>
      </c>
      <c r="AA182" s="108">
        <f t="shared" si="20"/>
        <v>3963373.3999999994</v>
      </c>
      <c r="AB182" s="108">
        <f t="shared" si="21"/>
        <v>12206905</v>
      </c>
      <c r="AC182" s="108">
        <f t="shared" si="22"/>
        <v>2366145.2000000002</v>
      </c>
    </row>
    <row r="183" spans="1:29" x14ac:dyDescent="0.2">
      <c r="A183" s="125" t="s">
        <v>410</v>
      </c>
      <c r="B183" s="99">
        <f t="shared" si="16"/>
        <v>2.5078049030144837E-3</v>
      </c>
      <c r="C183" t="s">
        <v>689</v>
      </c>
      <c r="D183" s="99">
        <f t="shared" si="17"/>
        <v>1.3610888710968775E-2</v>
      </c>
      <c r="E183" s="123">
        <v>24422567</v>
      </c>
      <c r="F183" s="219">
        <v>10855</v>
      </c>
      <c r="G183" s="93">
        <v>11100</v>
      </c>
      <c r="H183" s="93">
        <v>1249</v>
      </c>
      <c r="I183" s="93">
        <v>3430</v>
      </c>
      <c r="J183" s="93">
        <v>1215</v>
      </c>
      <c r="K183" s="108">
        <f>(F183*138.66)*SUM(1,Macrogegevens!$C$4,0.5*Macrogegevens!$C$6,Macrogegevens!$C$8)</f>
        <v>1536310.9940100003</v>
      </c>
      <c r="L183" s="108">
        <f t="shared" si="23"/>
        <v>1525440.9500000002</v>
      </c>
      <c r="M183" s="108">
        <v>1030279.8928057541</v>
      </c>
      <c r="N183" s="108">
        <v>1287997.6598111689</v>
      </c>
      <c r="O183" s="108">
        <v>0</v>
      </c>
      <c r="P183" s="108">
        <f t="shared" si="18"/>
        <v>2318277.5526169231</v>
      </c>
      <c r="Q183" s="108">
        <v>25711302</v>
      </c>
      <c r="R183" s="155">
        <v>-396.27307250728603</v>
      </c>
      <c r="S183" s="122">
        <v>0.1123</v>
      </c>
      <c r="T183" s="122">
        <v>0.1925</v>
      </c>
      <c r="U183" s="122">
        <v>0.1401</v>
      </c>
      <c r="V183" s="122" t="s">
        <v>410</v>
      </c>
      <c r="W183" s="108">
        <v>2211600000</v>
      </c>
      <c r="X183" s="108">
        <v>192150000</v>
      </c>
      <c r="Y183" s="108">
        <v>196000000</v>
      </c>
      <c r="Z183" s="108">
        <f t="shared" si="19"/>
        <v>2483626.7999999998</v>
      </c>
      <c r="AA183" s="108">
        <f t="shared" si="20"/>
        <v>644484.75</v>
      </c>
      <c r="AB183" s="108">
        <f t="shared" si="21"/>
        <v>4653552.5</v>
      </c>
      <c r="AC183" s="108">
        <f t="shared" si="22"/>
        <v>1525440.9500000002</v>
      </c>
    </row>
    <row r="184" spans="1:29" x14ac:dyDescent="0.2">
      <c r="A184" s="124" t="s">
        <v>239</v>
      </c>
      <c r="B184" s="99">
        <f t="shared" si="16"/>
        <v>4.0535686797680739E-3</v>
      </c>
      <c r="C184" t="s">
        <v>228</v>
      </c>
      <c r="D184" s="99">
        <f t="shared" si="17"/>
        <v>7.8103207810320777E-2</v>
      </c>
      <c r="E184" s="123">
        <v>44816720</v>
      </c>
      <c r="F184" s="219">
        <v>19489</v>
      </c>
      <c r="G184" s="93">
        <v>20200</v>
      </c>
      <c r="H184" s="93">
        <v>1434</v>
      </c>
      <c r="I184" s="93">
        <v>3120</v>
      </c>
      <c r="J184" s="93">
        <v>1210</v>
      </c>
      <c r="K184" s="108">
        <f>(F184*138.66)*SUM(1,Macrogegevens!$C$4,0.5*Macrogegevens!$C$6,Macrogegevens!$C$8)</f>
        <v>2758283.276118</v>
      </c>
      <c r="L184" s="108">
        <f t="shared" si="23"/>
        <v>251640.69999999984</v>
      </c>
      <c r="M184" s="108">
        <v>5326134.4697147124</v>
      </c>
      <c r="N184" s="108">
        <v>2770416.3742437493</v>
      </c>
      <c r="O184" s="108">
        <v>0</v>
      </c>
      <c r="P184" s="108">
        <f t="shared" si="18"/>
        <v>8096550.8439584617</v>
      </c>
      <c r="Q184" s="108">
        <v>44834709</v>
      </c>
      <c r="R184" s="155">
        <v>4253.4600289196451</v>
      </c>
      <c r="S184" s="122">
        <v>0.16250000000000001</v>
      </c>
      <c r="T184" s="122">
        <v>0.18360000000000001</v>
      </c>
      <c r="U184" s="122">
        <v>0.15329999999999999</v>
      </c>
      <c r="V184" s="122" t="s">
        <v>239</v>
      </c>
      <c r="W184" s="108">
        <v>1178400000</v>
      </c>
      <c r="X184" s="108">
        <v>242549999.99999997</v>
      </c>
      <c r="Y184" s="108">
        <v>265999999.99999997</v>
      </c>
      <c r="Z184" s="108">
        <f t="shared" si="19"/>
        <v>1914900.0000000002</v>
      </c>
      <c r="AA184" s="108">
        <f t="shared" si="20"/>
        <v>853099.79999999993</v>
      </c>
      <c r="AB184" s="108">
        <f t="shared" si="21"/>
        <v>3019640.5</v>
      </c>
      <c r="AC184" s="108">
        <f t="shared" si="22"/>
        <v>251640.69999999984</v>
      </c>
    </row>
    <row r="185" spans="1:29" x14ac:dyDescent="0.2">
      <c r="A185" s="124" t="s">
        <v>458</v>
      </c>
      <c r="B185" s="99">
        <f t="shared" si="16"/>
        <v>-1.9083453618557982E-3</v>
      </c>
      <c r="C185" t="s">
        <v>621</v>
      </c>
      <c r="D185" s="99">
        <f t="shared" si="17"/>
        <v>4.710144927536232E-2</v>
      </c>
      <c r="E185" s="123">
        <v>49532000</v>
      </c>
      <c r="F185" s="219">
        <v>20553</v>
      </c>
      <c r="G185" s="93">
        <v>20200</v>
      </c>
      <c r="H185" s="93">
        <v>1242</v>
      </c>
      <c r="I185" s="93">
        <v>2835</v>
      </c>
      <c r="J185" s="93">
        <v>1125</v>
      </c>
      <c r="K185" s="108">
        <f>(F185*138.66)*SUM(1,Macrogegevens!$C$4,0.5*Macrogegevens!$C$6,Macrogegevens!$C$8)</f>
        <v>2908871.4748860006</v>
      </c>
      <c r="L185" s="108">
        <f t="shared" si="23"/>
        <v>0</v>
      </c>
      <c r="M185" s="108">
        <v>3410273.3541571624</v>
      </c>
      <c r="N185" s="108">
        <v>2823235.1420070496</v>
      </c>
      <c r="O185" s="108">
        <v>0</v>
      </c>
      <c r="P185" s="108">
        <f t="shared" si="18"/>
        <v>6233508.496164212</v>
      </c>
      <c r="Q185" s="108">
        <v>50667000</v>
      </c>
      <c r="R185" s="155">
        <v>1235.0445890576043</v>
      </c>
      <c r="S185" s="122">
        <v>0.1472</v>
      </c>
      <c r="T185" s="122">
        <v>0.31869999999999998</v>
      </c>
      <c r="U185" s="122">
        <v>0.25230000000000002</v>
      </c>
      <c r="V185" s="122" t="s">
        <v>458</v>
      </c>
      <c r="W185" s="108">
        <v>1434800000</v>
      </c>
      <c r="X185" s="108">
        <v>229250000</v>
      </c>
      <c r="Y185" s="108">
        <v>248149999.99999997</v>
      </c>
      <c r="Z185" s="108">
        <f t="shared" si="19"/>
        <v>2112025.6000000001</v>
      </c>
      <c r="AA185" s="108">
        <f t="shared" si="20"/>
        <v>1356702.1999999997</v>
      </c>
      <c r="AB185" s="108">
        <f t="shared" si="21"/>
        <v>3422838</v>
      </c>
      <c r="AC185" s="108">
        <f t="shared" si="22"/>
        <v>-45889.799999999814</v>
      </c>
    </row>
    <row r="186" spans="1:29" s="158" customFormat="1" x14ac:dyDescent="0.2">
      <c r="A186" s="125" t="s">
        <v>262</v>
      </c>
      <c r="B186" s="99">
        <f t="shared" si="16"/>
        <v>9.7615930523702963E-3</v>
      </c>
      <c r="C186" t="s">
        <v>621</v>
      </c>
      <c r="D186" s="99">
        <f t="shared" si="17"/>
        <v>4.0924685508903776E-2</v>
      </c>
      <c r="E186" s="123">
        <v>402027165</v>
      </c>
      <c r="F186" s="219">
        <v>107701</v>
      </c>
      <c r="G186" s="126">
        <v>117163</v>
      </c>
      <c r="H186" s="93">
        <v>6121</v>
      </c>
      <c r="I186" s="126">
        <v>13373</v>
      </c>
      <c r="J186" s="93">
        <v>5620</v>
      </c>
      <c r="K186" s="108">
        <f>(F186*138.66)*SUM(1,Macrogegevens!$C$4,0.5*Macrogegevens!$C$6,Macrogegevens!$C$8)</f>
        <v>15242950.747662002</v>
      </c>
      <c r="L186" s="128">
        <f t="shared" si="23"/>
        <v>0</v>
      </c>
      <c r="M186" s="128">
        <v>33865135.762663946</v>
      </c>
      <c r="N186" s="128">
        <v>15444671.065922968</v>
      </c>
      <c r="O186" s="128">
        <v>53015535.950893648</v>
      </c>
      <c r="P186" s="108">
        <f t="shared" si="18"/>
        <v>102325342.77948056</v>
      </c>
      <c r="Q186" s="108">
        <v>400587052</v>
      </c>
      <c r="R186" s="155">
        <v>2516</v>
      </c>
      <c r="S186" s="129">
        <v>0.15759999999999999</v>
      </c>
      <c r="T186" s="129">
        <v>0.3523</v>
      </c>
      <c r="U186" s="129">
        <v>0.28179999999999999</v>
      </c>
      <c r="V186" s="129" t="s">
        <v>262</v>
      </c>
      <c r="W186" s="128">
        <v>6005092000</v>
      </c>
      <c r="X186" s="128">
        <v>2094214499.9999998</v>
      </c>
      <c r="Y186" s="128">
        <v>2148058500</v>
      </c>
      <c r="Z186" s="108">
        <f t="shared" si="19"/>
        <v>9464024.9919999987</v>
      </c>
      <c r="AA186" s="108">
        <f t="shared" si="20"/>
        <v>13431146.536499999</v>
      </c>
      <c r="AB186" s="108">
        <f t="shared" si="21"/>
        <v>18342783.349999998</v>
      </c>
      <c r="AC186" s="108">
        <f t="shared" si="22"/>
        <v>-4552388.1785000004</v>
      </c>
    </row>
    <row r="187" spans="1:29" x14ac:dyDescent="0.2">
      <c r="A187" s="124" t="s">
        <v>263</v>
      </c>
      <c r="B187" s="99">
        <f t="shared" si="16"/>
        <v>-3.5000760886106218E-3</v>
      </c>
      <c r="C187" t="s">
        <v>228</v>
      </c>
      <c r="D187" s="99">
        <f t="shared" si="17"/>
        <v>8.0449826989619375E-2</v>
      </c>
      <c r="E187" s="123">
        <v>17864000</v>
      </c>
      <c r="F187" s="219">
        <v>10222</v>
      </c>
      <c r="G187" s="93">
        <v>9900</v>
      </c>
      <c r="H187" s="93">
        <v>578</v>
      </c>
      <c r="I187" s="93">
        <v>1185</v>
      </c>
      <c r="J187" s="93">
        <v>485</v>
      </c>
      <c r="K187" s="108">
        <f>(F187*138.66)*SUM(1,Macrogegevens!$C$4,0.5*Macrogegevens!$C$6,Macrogegevens!$C$8)</f>
        <v>1446722.3381640003</v>
      </c>
      <c r="L187" s="108">
        <f t="shared" si="23"/>
        <v>0</v>
      </c>
      <c r="M187" s="108">
        <v>2724818.9800940296</v>
      </c>
      <c r="N187" s="108">
        <v>1622543.316714959</v>
      </c>
      <c r="O187" s="108">
        <v>0</v>
      </c>
      <c r="P187" s="108">
        <f t="shared" si="18"/>
        <v>4347362.2968089888</v>
      </c>
      <c r="Q187" s="108">
        <v>18818000</v>
      </c>
      <c r="R187" s="155">
        <v>340.68040249161476</v>
      </c>
      <c r="S187" s="122">
        <v>0.21579999999999999</v>
      </c>
      <c r="T187" s="122">
        <v>0.21579999999999999</v>
      </c>
      <c r="U187" s="122">
        <v>0.1807</v>
      </c>
      <c r="V187" s="122" t="s">
        <v>263</v>
      </c>
      <c r="W187" s="108">
        <v>543200000</v>
      </c>
      <c r="X187" s="108">
        <v>73850000</v>
      </c>
      <c r="Y187" s="108">
        <v>90650000</v>
      </c>
      <c r="Z187" s="108">
        <f t="shared" si="19"/>
        <v>1172225.5999999999</v>
      </c>
      <c r="AA187" s="108">
        <f t="shared" si="20"/>
        <v>323172.84999999998</v>
      </c>
      <c r="AB187" s="108">
        <f t="shared" si="21"/>
        <v>1266783</v>
      </c>
      <c r="AC187" s="108">
        <f t="shared" si="22"/>
        <v>-228615.44999999984</v>
      </c>
    </row>
    <row r="188" spans="1:29" x14ac:dyDescent="0.2">
      <c r="A188" s="124" t="s">
        <v>459</v>
      </c>
      <c r="B188" s="99">
        <f t="shared" si="16"/>
        <v>-4.3775834825275932E-4</v>
      </c>
      <c r="C188" t="s">
        <v>621</v>
      </c>
      <c r="D188" s="99">
        <f t="shared" si="17"/>
        <v>2.6174593967517402E-2</v>
      </c>
      <c r="E188" s="123">
        <v>428337000</v>
      </c>
      <c r="F188" s="219">
        <v>121579</v>
      </c>
      <c r="G188" s="93">
        <v>121100</v>
      </c>
      <c r="H188" s="93">
        <v>6896</v>
      </c>
      <c r="I188" s="93">
        <v>15910</v>
      </c>
      <c r="J188" s="93">
        <v>6535</v>
      </c>
      <c r="K188" s="108">
        <f>(F188*138.66)*SUM(1,Macrogegevens!$C$4,0.5*Macrogegevens!$C$6,Macrogegevens!$C$8)</f>
        <v>17207107.723698005</v>
      </c>
      <c r="L188" s="108">
        <f t="shared" si="23"/>
        <v>0</v>
      </c>
      <c r="M188" s="108">
        <v>24852197.048657686</v>
      </c>
      <c r="N188" s="108">
        <v>12327085.554337718</v>
      </c>
      <c r="O188" s="108">
        <v>23955367.787918333</v>
      </c>
      <c r="P188" s="108">
        <f t="shared" si="18"/>
        <v>61134650.39091374</v>
      </c>
      <c r="Q188" s="108">
        <v>439245000</v>
      </c>
      <c r="R188" s="155">
        <v>108.90260666137308</v>
      </c>
      <c r="S188" s="122">
        <v>0.17527000000000001</v>
      </c>
      <c r="T188" s="122">
        <v>0.38405</v>
      </c>
      <c r="U188" s="122">
        <v>0.38357999999999998</v>
      </c>
      <c r="V188" s="122" t="s">
        <v>459</v>
      </c>
      <c r="W188" s="108">
        <v>9078800000</v>
      </c>
      <c r="X188" s="108">
        <v>2277800000</v>
      </c>
      <c r="Y188" s="108">
        <v>2294950000</v>
      </c>
      <c r="Z188" s="108">
        <f t="shared" si="19"/>
        <v>15912412.76</v>
      </c>
      <c r="AA188" s="108">
        <f t="shared" si="20"/>
        <v>17550860.109999999</v>
      </c>
      <c r="AB188" s="108">
        <f t="shared" si="21"/>
        <v>24436274.5</v>
      </c>
      <c r="AC188" s="108">
        <f t="shared" si="22"/>
        <v>-9026998.3699999992</v>
      </c>
    </row>
    <row r="189" spans="1:29" x14ac:dyDescent="0.2">
      <c r="A189" s="124" t="s">
        <v>460</v>
      </c>
      <c r="B189" s="99">
        <f t="shared" si="16"/>
        <v>-2.552373375762397E-3</v>
      </c>
      <c r="C189" t="s">
        <v>689</v>
      </c>
      <c r="D189" s="99">
        <f t="shared" si="17"/>
        <v>3.0728122912491648E-2</v>
      </c>
      <c r="E189" s="123">
        <v>59139000</v>
      </c>
      <c r="F189" s="219">
        <v>26816</v>
      </c>
      <c r="G189" s="93">
        <v>26200</v>
      </c>
      <c r="H189" s="93">
        <v>1497</v>
      </c>
      <c r="I189" s="93">
        <v>3375</v>
      </c>
      <c r="J189" s="93">
        <v>1405</v>
      </c>
      <c r="K189" s="108">
        <f>(F189*138.66)*SUM(1,Macrogegevens!$C$4,0.5*Macrogegevens!$C$6,Macrogegevens!$C$8)</f>
        <v>3795275.5057920008</v>
      </c>
      <c r="L189" s="108">
        <f t="shared" si="23"/>
        <v>0</v>
      </c>
      <c r="M189" s="108">
        <v>5657578.1343835173</v>
      </c>
      <c r="N189" s="108">
        <v>3122441.1057605227</v>
      </c>
      <c r="O189" s="108">
        <v>0</v>
      </c>
      <c r="P189" s="108">
        <f t="shared" si="18"/>
        <v>8780019.2401440404</v>
      </c>
      <c r="Q189" s="108">
        <v>61257000</v>
      </c>
      <c r="R189" s="155">
        <v>1050.1400136229472</v>
      </c>
      <c r="S189" s="122">
        <v>0.16539999999999999</v>
      </c>
      <c r="T189" s="122">
        <v>0.26550000000000001</v>
      </c>
      <c r="U189" s="122">
        <v>0.2135</v>
      </c>
      <c r="V189" s="122" t="s">
        <v>460</v>
      </c>
      <c r="W189" s="108">
        <v>2282000000</v>
      </c>
      <c r="X189" s="108">
        <v>324450000</v>
      </c>
      <c r="Y189" s="108">
        <v>325850000</v>
      </c>
      <c r="Z189" s="108">
        <f t="shared" si="19"/>
        <v>3774427.9999999995</v>
      </c>
      <c r="AA189" s="108">
        <f t="shared" si="20"/>
        <v>1557104.5</v>
      </c>
      <c r="AB189" s="108">
        <f t="shared" si="21"/>
        <v>5248817</v>
      </c>
      <c r="AC189" s="108">
        <f t="shared" si="22"/>
        <v>-82715.499999999534</v>
      </c>
    </row>
    <row r="190" spans="1:29" x14ac:dyDescent="0.2">
      <c r="A190" s="124" t="s">
        <v>461</v>
      </c>
      <c r="B190" s="99">
        <f t="shared" si="16"/>
        <v>4.2790518774941102E-3</v>
      </c>
      <c r="C190" t="s">
        <v>228</v>
      </c>
      <c r="D190" s="99">
        <f t="shared" si="17"/>
        <v>2.7093596059113302E-2</v>
      </c>
      <c r="E190" s="123">
        <v>171629000</v>
      </c>
      <c r="F190" s="219">
        <v>73952</v>
      </c>
      <c r="G190" s="93">
        <v>76800</v>
      </c>
      <c r="H190" s="93">
        <v>4060</v>
      </c>
      <c r="I190" s="93">
        <v>9660</v>
      </c>
      <c r="J190" s="93">
        <v>3840</v>
      </c>
      <c r="K190" s="108">
        <f>(F190*138.66)*SUM(1,Macrogegevens!$C$4,0.5*Macrogegevens!$C$6,Macrogegevens!$C$8)</f>
        <v>10466445.935424002</v>
      </c>
      <c r="L190" s="108">
        <f t="shared" si="23"/>
        <v>6685802.7400000002</v>
      </c>
      <c r="M190" s="108">
        <v>11892177.601831852</v>
      </c>
      <c r="N190" s="108">
        <v>8257420.9136102675</v>
      </c>
      <c r="O190" s="108">
        <v>0</v>
      </c>
      <c r="P190" s="108">
        <f t="shared" si="18"/>
        <v>20149598.515442118</v>
      </c>
      <c r="Q190" s="108">
        <v>176676000</v>
      </c>
      <c r="R190" s="155">
        <v>348.87749445676275</v>
      </c>
      <c r="S190" s="122">
        <v>9.0999999999999998E-2</v>
      </c>
      <c r="T190" s="122">
        <v>0.14610000000000001</v>
      </c>
      <c r="U190" s="122">
        <v>0.11791</v>
      </c>
      <c r="V190" s="122" t="s">
        <v>461</v>
      </c>
      <c r="W190" s="108">
        <v>6774400000</v>
      </c>
      <c r="X190" s="108">
        <v>754950000</v>
      </c>
      <c r="Y190" s="108">
        <v>779100000</v>
      </c>
      <c r="Z190" s="108">
        <f t="shared" si="19"/>
        <v>6164704</v>
      </c>
      <c r="AA190" s="108">
        <f t="shared" si="20"/>
        <v>2021618.7599999998</v>
      </c>
      <c r="AB190" s="108">
        <f t="shared" si="21"/>
        <v>14872125.5</v>
      </c>
      <c r="AC190" s="108">
        <f t="shared" si="22"/>
        <v>6685802.7400000002</v>
      </c>
    </row>
    <row r="191" spans="1:29" x14ac:dyDescent="0.2">
      <c r="A191" s="124" t="s">
        <v>608</v>
      </c>
      <c r="B191" s="99">
        <f t="shared" si="16"/>
        <v>1.1415973631938532E-2</v>
      </c>
      <c r="C191" t="s">
        <v>621</v>
      </c>
      <c r="D191" s="99">
        <f t="shared" si="17"/>
        <v>2.8675369141878879E-2</v>
      </c>
      <c r="E191" s="123">
        <v>229391000</v>
      </c>
      <c r="F191" s="219">
        <v>76355</v>
      </c>
      <c r="G191" s="93">
        <v>84200</v>
      </c>
      <c r="H191" s="93">
        <v>4673</v>
      </c>
      <c r="I191" s="93">
        <v>10960</v>
      </c>
      <c r="J191" s="93">
        <v>4405</v>
      </c>
      <c r="K191" s="108">
        <f>(F191*138.66)*SUM(1,Macrogegevens!$C$4,0.5*Macrogegevens!$C$6,Macrogegevens!$C$8)</f>
        <v>10806543.15501</v>
      </c>
      <c r="L191" s="108">
        <f t="shared" si="23"/>
        <v>0</v>
      </c>
      <c r="M191" s="108">
        <v>29894138.920256775</v>
      </c>
      <c r="N191" s="108">
        <v>9830081.3796368632</v>
      </c>
      <c r="O191" s="108">
        <v>0</v>
      </c>
      <c r="P191" s="108">
        <f t="shared" si="18"/>
        <v>39724220.29989364</v>
      </c>
      <c r="Q191" s="108">
        <v>234434000</v>
      </c>
      <c r="R191" s="155">
        <v>1379.7770273891838</v>
      </c>
      <c r="S191" s="122">
        <v>0.19020000000000001</v>
      </c>
      <c r="T191" s="122">
        <v>0.47520000000000001</v>
      </c>
      <c r="U191" s="122">
        <v>0.1182</v>
      </c>
      <c r="V191" s="122" t="s">
        <v>608</v>
      </c>
      <c r="W191" s="108">
        <v>4162400000</v>
      </c>
      <c r="X191" s="108">
        <v>1369900000</v>
      </c>
      <c r="Y191" s="108">
        <v>1400350000</v>
      </c>
      <c r="Z191" s="108">
        <f t="shared" si="19"/>
        <v>7916884.7999999998</v>
      </c>
      <c r="AA191" s="108">
        <f t="shared" si="20"/>
        <v>8164978.5</v>
      </c>
      <c r="AB191" s="108">
        <f t="shared" si="21"/>
        <v>12409443.5</v>
      </c>
      <c r="AC191" s="108">
        <f t="shared" si="22"/>
        <v>-3672419.8</v>
      </c>
    </row>
    <row r="192" spans="1:29" x14ac:dyDescent="0.2">
      <c r="A192" s="124" t="s">
        <v>585</v>
      </c>
      <c r="B192" s="99">
        <f t="shared" si="16"/>
        <v>-5.0691724438069671E-3</v>
      </c>
      <c r="C192" t="s">
        <v>689</v>
      </c>
      <c r="D192" s="99">
        <f t="shared" si="17"/>
        <v>5.1407349491790461E-2</v>
      </c>
      <c r="E192" s="123">
        <v>69183000</v>
      </c>
      <c r="F192" s="219">
        <v>36254</v>
      </c>
      <c r="G192" s="93">
        <v>34600</v>
      </c>
      <c r="H192" s="93">
        <v>2558</v>
      </c>
      <c r="I192" s="93">
        <v>5400</v>
      </c>
      <c r="J192" s="93">
        <v>2295</v>
      </c>
      <c r="K192" s="108">
        <f>(F192*138.66)*SUM(1,Macrogegevens!$C$4,0.5*Macrogegevens!$C$6,Macrogegevens!$C$8)</f>
        <v>5131038.1185480002</v>
      </c>
      <c r="L192" s="108">
        <f t="shared" si="23"/>
        <v>2555334.4000000004</v>
      </c>
      <c r="M192" s="108">
        <v>10189009.113557052</v>
      </c>
      <c r="N192" s="108">
        <v>4713773.3491298677</v>
      </c>
      <c r="O192" s="108">
        <v>0</v>
      </c>
      <c r="P192" s="108">
        <f t="shared" si="18"/>
        <v>14902782.462686919</v>
      </c>
      <c r="Q192" s="108">
        <v>78123000</v>
      </c>
      <c r="R192" s="155">
        <v>520.20903078304889</v>
      </c>
      <c r="S192" s="122">
        <v>0.1051</v>
      </c>
      <c r="T192" s="122">
        <v>0.1148</v>
      </c>
      <c r="U192" s="122">
        <v>0.1148</v>
      </c>
      <c r="V192" s="122" t="s">
        <v>585</v>
      </c>
      <c r="W192" s="108">
        <v>2542000000</v>
      </c>
      <c r="X192" s="108">
        <v>493149999.99999994</v>
      </c>
      <c r="Y192" s="108">
        <v>561050000</v>
      </c>
      <c r="Z192" s="108">
        <f t="shared" si="19"/>
        <v>2671642</v>
      </c>
      <c r="AA192" s="108">
        <f t="shared" si="20"/>
        <v>1210221.5999999999</v>
      </c>
      <c r="AB192" s="108">
        <f t="shared" si="21"/>
        <v>6437198</v>
      </c>
      <c r="AC192" s="108">
        <f t="shared" si="22"/>
        <v>2555334.4000000004</v>
      </c>
    </row>
    <row r="193" spans="1:29" x14ac:dyDescent="0.2">
      <c r="A193" s="124" t="s">
        <v>363</v>
      </c>
      <c r="B193" s="99">
        <f t="shared" ref="B193:B254" si="24">SUM(G193,-F193)/(F193*9)</f>
        <v>2.0997556022167912E-3</v>
      </c>
      <c r="C193" t="s">
        <v>689</v>
      </c>
      <c r="D193" s="99">
        <f t="shared" ref="D193:D254" si="25">SUM(H193,-J193)/(H193*2)</f>
        <v>4.294901240238861E-2</v>
      </c>
      <c r="E193" s="123">
        <v>45991000</v>
      </c>
      <c r="F193" s="219">
        <v>29051</v>
      </c>
      <c r="G193" s="93">
        <v>29600</v>
      </c>
      <c r="H193" s="93">
        <v>2177</v>
      </c>
      <c r="I193" s="93">
        <v>4830</v>
      </c>
      <c r="J193" s="93">
        <v>1990</v>
      </c>
      <c r="K193" s="108">
        <f>(F193*138.66)*SUM(1,Macrogegevens!$C$4,0.5*Macrogegevens!$C$6,Macrogegevens!$C$8)</f>
        <v>4111595.6413620003</v>
      </c>
      <c r="L193" s="108">
        <f t="shared" si="23"/>
        <v>1539794.8</v>
      </c>
      <c r="M193" s="108">
        <v>5138043.1509158015</v>
      </c>
      <c r="N193" s="108">
        <v>3264853.8100692718</v>
      </c>
      <c r="O193" s="108">
        <v>0</v>
      </c>
      <c r="P193" s="108">
        <f t="shared" ref="P193:P254" si="26">SUM(M193,N193,O193)</f>
        <v>8402896.9609850738</v>
      </c>
      <c r="Q193" s="108">
        <v>53066000</v>
      </c>
      <c r="R193" s="155">
        <v>-1077.5371373039011</v>
      </c>
      <c r="S193" s="122">
        <v>0.1114</v>
      </c>
      <c r="T193" s="122">
        <v>0.2349</v>
      </c>
      <c r="U193" s="122">
        <v>0.18920000000000001</v>
      </c>
      <c r="V193" s="122" t="s">
        <v>363</v>
      </c>
      <c r="W193" s="108">
        <v>2728400000</v>
      </c>
      <c r="X193" s="108">
        <v>458500000</v>
      </c>
      <c r="Y193" s="108">
        <v>473549999.99999994</v>
      </c>
      <c r="Z193" s="108">
        <f t="shared" ref="Z193:Z254" si="27">S193/100*W193</f>
        <v>3039437.6</v>
      </c>
      <c r="AA193" s="108">
        <f t="shared" ref="AA193:AA254" si="28">SUM(T193/100*X193,U193/100*Y193)</f>
        <v>1972973.0999999999</v>
      </c>
      <c r="AB193" s="108">
        <f t="shared" ref="AB193:AB254" si="29">(0.179/100)*SUM(W193,X193,Y193)</f>
        <v>6552205.5</v>
      </c>
      <c r="AC193" s="108">
        <f t="shared" ref="AC193:AC254" si="30">SUM(AB193,-Z193,-AA193)</f>
        <v>1539794.8</v>
      </c>
    </row>
    <row r="194" spans="1:29" x14ac:dyDescent="0.2">
      <c r="A194" s="124" t="s">
        <v>322</v>
      </c>
      <c r="B194" s="99">
        <f t="shared" si="24"/>
        <v>-1.1851049750345906E-2</v>
      </c>
      <c r="C194" t="s">
        <v>689</v>
      </c>
      <c r="D194" s="99">
        <f t="shared" si="25"/>
        <v>6.0502283105022828E-2</v>
      </c>
      <c r="E194" s="123">
        <v>19097000</v>
      </c>
      <c r="F194" s="219">
        <v>11082</v>
      </c>
      <c r="G194" s="93">
        <v>9900</v>
      </c>
      <c r="H194" s="93">
        <v>876</v>
      </c>
      <c r="I194" s="93">
        <v>1920</v>
      </c>
      <c r="J194" s="93">
        <v>770</v>
      </c>
      <c r="K194" s="108">
        <f>(F194*138.66)*SUM(1,Macrogegevens!$C$4,0.5*Macrogegevens!$C$6,Macrogegevens!$C$8)</f>
        <v>1568438.3634840001</v>
      </c>
      <c r="L194" s="108">
        <f t="shared" ref="L194:L254" si="31">IF(AC194&gt;0,AC194,0)</f>
        <v>540070.00000000012</v>
      </c>
      <c r="M194" s="108">
        <v>1376927.2513665459</v>
      </c>
      <c r="N194" s="108">
        <v>836415.88191689481</v>
      </c>
      <c r="O194" s="108">
        <v>0</v>
      </c>
      <c r="P194" s="108">
        <f t="shared" si="26"/>
        <v>2213343.133283441</v>
      </c>
      <c r="Q194" s="108">
        <v>18443000</v>
      </c>
      <c r="R194" s="155">
        <v>1531.7001559776127</v>
      </c>
      <c r="S194" s="122">
        <v>0.113</v>
      </c>
      <c r="T194" s="122">
        <v>0.214</v>
      </c>
      <c r="U194" s="122">
        <v>0.183</v>
      </c>
      <c r="V194" s="122" t="s">
        <v>322</v>
      </c>
      <c r="W194" s="108">
        <v>886400000</v>
      </c>
      <c r="X194" s="108">
        <v>113400000</v>
      </c>
      <c r="Y194" s="108">
        <v>131599999.99999999</v>
      </c>
      <c r="Z194" s="108">
        <f t="shared" si="27"/>
        <v>1001631.9999999999</v>
      </c>
      <c r="AA194" s="108">
        <f t="shared" si="28"/>
        <v>483504</v>
      </c>
      <c r="AB194" s="108">
        <f t="shared" si="29"/>
        <v>2025206</v>
      </c>
      <c r="AC194" s="108">
        <f t="shared" si="30"/>
        <v>540070.00000000012</v>
      </c>
    </row>
    <row r="195" spans="1:29" x14ac:dyDescent="0.2">
      <c r="A195" s="124" t="s">
        <v>323</v>
      </c>
      <c r="B195" s="99">
        <f t="shared" si="24"/>
        <v>4.1468604941776524E-3</v>
      </c>
      <c r="C195" t="s">
        <v>689</v>
      </c>
      <c r="D195" s="99">
        <f t="shared" si="25"/>
        <v>4.4616519174041296E-2</v>
      </c>
      <c r="E195" s="123">
        <v>89068000</v>
      </c>
      <c r="F195" s="219">
        <v>45791</v>
      </c>
      <c r="G195" s="93">
        <v>47500</v>
      </c>
      <c r="H195" s="93">
        <v>2712</v>
      </c>
      <c r="I195" s="93">
        <v>6145</v>
      </c>
      <c r="J195" s="93">
        <v>2470</v>
      </c>
      <c r="K195" s="108">
        <f>(F195*138.66)*SUM(1,Macrogegevens!$C$4,0.5*Macrogegevens!$C$6,Macrogegevens!$C$8)</f>
        <v>6480812.2272420004</v>
      </c>
      <c r="L195" s="108">
        <f t="shared" si="31"/>
        <v>0</v>
      </c>
      <c r="M195" s="108">
        <v>7813496.8590869866</v>
      </c>
      <c r="N195" s="108">
        <v>4832314.2569584288</v>
      </c>
      <c r="O195" s="108">
        <v>0</v>
      </c>
      <c r="P195" s="108">
        <f t="shared" si="26"/>
        <v>12645811.116045415</v>
      </c>
      <c r="Q195" s="108">
        <v>90234000</v>
      </c>
      <c r="R195" s="155">
        <v>1454.4394322807789</v>
      </c>
      <c r="S195" s="122">
        <v>0.18429999999999999</v>
      </c>
      <c r="T195" s="122">
        <v>0.28770000000000001</v>
      </c>
      <c r="U195" s="122">
        <v>0.22989999999999999</v>
      </c>
      <c r="V195" s="122" t="s">
        <v>323</v>
      </c>
      <c r="W195" s="108">
        <v>3603600000</v>
      </c>
      <c r="X195" s="108">
        <v>368550000</v>
      </c>
      <c r="Y195" s="108">
        <v>397950000</v>
      </c>
      <c r="Z195" s="108">
        <f t="shared" si="27"/>
        <v>6641434.7999999998</v>
      </c>
      <c r="AA195" s="108">
        <f t="shared" si="28"/>
        <v>1975205.4</v>
      </c>
      <c r="AB195" s="108">
        <f t="shared" si="29"/>
        <v>7822479</v>
      </c>
      <c r="AC195" s="108">
        <f t="shared" si="30"/>
        <v>-794161.19999999972</v>
      </c>
    </row>
    <row r="196" spans="1:29" x14ac:dyDescent="0.2">
      <c r="A196" s="124" t="s">
        <v>462</v>
      </c>
      <c r="B196" s="99">
        <f t="shared" si="24"/>
        <v>4.7528892044334005E-3</v>
      </c>
      <c r="C196" t="s">
        <v>689</v>
      </c>
      <c r="D196" s="99">
        <f t="shared" si="25"/>
        <v>1.9554956169925825E-2</v>
      </c>
      <c r="E196" s="123">
        <v>37545000</v>
      </c>
      <c r="F196" s="219">
        <v>22536</v>
      </c>
      <c r="G196" s="93">
        <v>23500</v>
      </c>
      <c r="H196" s="93">
        <v>1483</v>
      </c>
      <c r="I196" s="93">
        <v>3765</v>
      </c>
      <c r="J196" s="93">
        <v>1425</v>
      </c>
      <c r="K196" s="108">
        <f>(F196*138.66)*SUM(1,Macrogegevens!$C$4,0.5*Macrogegevens!$C$6,Macrogegevens!$C$8)</f>
        <v>3189525.9844320002</v>
      </c>
      <c r="L196" s="108">
        <f t="shared" si="31"/>
        <v>1996330.7000000002</v>
      </c>
      <c r="M196" s="108">
        <v>3706120.8762637232</v>
      </c>
      <c r="N196" s="108">
        <v>3251247.7059694086</v>
      </c>
      <c r="O196" s="108">
        <v>0</v>
      </c>
      <c r="P196" s="108">
        <f t="shared" si="26"/>
        <v>6957368.5822331319</v>
      </c>
      <c r="Q196" s="108">
        <v>42010000</v>
      </c>
      <c r="R196" s="155">
        <v>-515.28990373852696</v>
      </c>
      <c r="S196" s="122">
        <v>8.8900000000000007E-2</v>
      </c>
      <c r="T196" s="122">
        <v>0.17399999999999999</v>
      </c>
      <c r="U196" s="122">
        <v>0.14660000000000001</v>
      </c>
      <c r="V196" s="122" t="s">
        <v>462</v>
      </c>
      <c r="W196" s="108">
        <v>2041200000</v>
      </c>
      <c r="X196" s="108">
        <v>411250000</v>
      </c>
      <c r="Y196" s="108">
        <v>421750000</v>
      </c>
      <c r="Z196" s="108">
        <f t="shared" si="27"/>
        <v>1814626.8</v>
      </c>
      <c r="AA196" s="108">
        <f t="shared" si="28"/>
        <v>1333860.5</v>
      </c>
      <c r="AB196" s="108">
        <f t="shared" si="29"/>
        <v>5144818</v>
      </c>
      <c r="AC196" s="108">
        <f t="shared" si="30"/>
        <v>1996330.7000000002</v>
      </c>
    </row>
    <row r="197" spans="1:29" x14ac:dyDescent="0.2">
      <c r="A197" s="124" t="s">
        <v>264</v>
      </c>
      <c r="B197" s="99">
        <f t="shared" si="24"/>
        <v>-3.8412815168975523E-3</v>
      </c>
      <c r="C197" t="s">
        <v>689</v>
      </c>
      <c r="D197" s="99">
        <f t="shared" si="25"/>
        <v>8.845789971617786E-2</v>
      </c>
      <c r="E197" s="123">
        <v>19628481</v>
      </c>
      <c r="F197" s="219">
        <v>10876</v>
      </c>
      <c r="G197" s="93">
        <v>10500</v>
      </c>
      <c r="H197" s="93">
        <v>1057</v>
      </c>
      <c r="I197" s="93">
        <v>1870</v>
      </c>
      <c r="J197" s="93">
        <v>870</v>
      </c>
      <c r="K197" s="108">
        <f>(F197*138.66)*SUM(1,Macrogegevens!$C$4,0.5*Macrogegevens!$C$6,Macrogegevens!$C$8)</f>
        <v>1539283.1295120001</v>
      </c>
      <c r="L197" s="108">
        <f t="shared" si="31"/>
        <v>388742.99999999988</v>
      </c>
      <c r="M197" s="108">
        <v>1733340.6848975758</v>
      </c>
      <c r="N197" s="108">
        <v>1343022.7457985368</v>
      </c>
      <c r="O197" s="108">
        <v>0</v>
      </c>
      <c r="P197" s="108">
        <f t="shared" si="26"/>
        <v>3076363.4306961126</v>
      </c>
      <c r="Q197" s="108">
        <v>19783043</v>
      </c>
      <c r="R197" s="155">
        <v>1471.072867081655</v>
      </c>
      <c r="S197" s="122">
        <v>0.14000000000000001</v>
      </c>
      <c r="T197" s="122">
        <v>0.14000000000000001</v>
      </c>
      <c r="U197" s="122">
        <v>0.11600000000000001</v>
      </c>
      <c r="V197" s="122" t="s">
        <v>264</v>
      </c>
      <c r="W197" s="108">
        <v>615600000</v>
      </c>
      <c r="X197" s="108">
        <v>128449999.99999999</v>
      </c>
      <c r="Y197" s="108">
        <v>156450000</v>
      </c>
      <c r="Z197" s="108">
        <f t="shared" si="27"/>
        <v>861840.00000000012</v>
      </c>
      <c r="AA197" s="108">
        <f t="shared" si="28"/>
        <v>361312</v>
      </c>
      <c r="AB197" s="108">
        <f t="shared" si="29"/>
        <v>1611895</v>
      </c>
      <c r="AC197" s="108">
        <f t="shared" si="30"/>
        <v>388742.99999999988</v>
      </c>
    </row>
    <row r="198" spans="1:29" x14ac:dyDescent="0.2">
      <c r="A198" s="124" t="s">
        <v>324</v>
      </c>
      <c r="B198" s="99">
        <f t="shared" si="24"/>
        <v>-8.188365836132418E-4</v>
      </c>
      <c r="C198" t="s">
        <v>689</v>
      </c>
      <c r="D198" s="99">
        <f t="shared" si="25"/>
        <v>6.6535854441669637E-2</v>
      </c>
      <c r="E198" s="123">
        <v>64526000</v>
      </c>
      <c r="F198" s="219">
        <v>33245</v>
      </c>
      <c r="G198" s="93">
        <v>33000</v>
      </c>
      <c r="H198" s="93">
        <v>2803</v>
      </c>
      <c r="I198" s="93">
        <v>5715</v>
      </c>
      <c r="J198" s="93">
        <v>2430</v>
      </c>
      <c r="K198" s="108">
        <f>(F198*138.66)*SUM(1,Macrogegevens!$C$4,0.5*Macrogegevens!$C$6,Macrogegevens!$C$8)</f>
        <v>4705173.5601900006</v>
      </c>
      <c r="L198" s="108">
        <f t="shared" si="31"/>
        <v>3622707.3</v>
      </c>
      <c r="M198" s="108">
        <v>6469316.0779631035</v>
      </c>
      <c r="N198" s="108">
        <v>4462427.5268052211</v>
      </c>
      <c r="O198" s="108">
        <v>0</v>
      </c>
      <c r="P198" s="108">
        <f t="shared" si="26"/>
        <v>10931743.604768325</v>
      </c>
      <c r="Q198" s="108">
        <v>69439000</v>
      </c>
      <c r="R198" s="155">
        <v>336.12816289863753</v>
      </c>
      <c r="S198" s="122">
        <v>9.06E-2</v>
      </c>
      <c r="T198" s="122">
        <v>0.1072</v>
      </c>
      <c r="U198" s="122">
        <v>9.4600000000000004E-2</v>
      </c>
      <c r="V198" s="122" t="s">
        <v>324</v>
      </c>
      <c r="W198" s="108">
        <v>3192400000</v>
      </c>
      <c r="X198" s="108">
        <v>472849999.99999994</v>
      </c>
      <c r="Y198" s="108">
        <v>546350000</v>
      </c>
      <c r="Z198" s="108">
        <f t="shared" si="27"/>
        <v>2892314.4</v>
      </c>
      <c r="AA198" s="108">
        <f t="shared" si="28"/>
        <v>1023742.2999999999</v>
      </c>
      <c r="AB198" s="108">
        <f t="shared" si="29"/>
        <v>7538764</v>
      </c>
      <c r="AC198" s="108">
        <f t="shared" si="30"/>
        <v>3622707.3</v>
      </c>
    </row>
    <row r="199" spans="1:29" x14ac:dyDescent="0.2">
      <c r="A199" s="124" t="s">
        <v>544</v>
      </c>
      <c r="B199" s="99">
        <f t="shared" si="24"/>
        <v>1.6355524586514918E-3</v>
      </c>
      <c r="C199" t="s">
        <v>689</v>
      </c>
      <c r="D199" s="99">
        <f t="shared" si="25"/>
        <v>2.6636713735558409E-2</v>
      </c>
      <c r="E199" s="123">
        <v>48371088</v>
      </c>
      <c r="F199" s="219">
        <v>22962</v>
      </c>
      <c r="G199" s="93">
        <v>23300</v>
      </c>
      <c r="H199" s="93">
        <v>1558</v>
      </c>
      <c r="I199" s="93">
        <v>3920</v>
      </c>
      <c r="J199" s="93">
        <v>1475</v>
      </c>
      <c r="K199" s="108">
        <f>(F199*138.66)*SUM(1,Macrogegevens!$C$4,0.5*Macrogegevens!$C$6,Macrogegevens!$C$8)</f>
        <v>3249817.8760440005</v>
      </c>
      <c r="L199" s="108">
        <f t="shared" si="31"/>
        <v>1088501.3500000001</v>
      </c>
      <c r="M199" s="108">
        <v>4669171.6177398758</v>
      </c>
      <c r="N199" s="108">
        <v>2797498.7708407799</v>
      </c>
      <c r="O199" s="108">
        <v>0</v>
      </c>
      <c r="P199" s="108">
        <f t="shared" si="26"/>
        <v>7466670.3885806557</v>
      </c>
      <c r="Q199" s="108">
        <v>47556495</v>
      </c>
      <c r="R199" s="155">
        <v>868.74348279457763</v>
      </c>
      <c r="S199" s="122">
        <v>0.1263</v>
      </c>
      <c r="T199" s="122">
        <v>0.18360000000000001</v>
      </c>
      <c r="U199" s="122">
        <v>0.14729999999999999</v>
      </c>
      <c r="V199" s="122" t="s">
        <v>544</v>
      </c>
      <c r="W199" s="108">
        <v>1868800000</v>
      </c>
      <c r="X199" s="108">
        <v>354200000</v>
      </c>
      <c r="Y199" s="108">
        <v>378350000</v>
      </c>
      <c r="Z199" s="108">
        <f t="shared" si="27"/>
        <v>2360294.3999999999</v>
      </c>
      <c r="AA199" s="108">
        <f t="shared" si="28"/>
        <v>1207620.75</v>
      </c>
      <c r="AB199" s="108">
        <f t="shared" si="29"/>
        <v>4656416.5</v>
      </c>
      <c r="AC199" s="108">
        <f t="shared" si="30"/>
        <v>1088501.3500000001</v>
      </c>
    </row>
    <row r="200" spans="1:29" x14ac:dyDescent="0.2">
      <c r="A200" s="124" t="s">
        <v>364</v>
      </c>
      <c r="B200" s="99">
        <f t="shared" si="24"/>
        <v>-7.8436009617279569E-3</v>
      </c>
      <c r="C200" t="s">
        <v>689</v>
      </c>
      <c r="D200" s="99">
        <f t="shared" si="25"/>
        <v>6.2125748502994009E-2</v>
      </c>
      <c r="E200" s="123">
        <v>21915357</v>
      </c>
      <c r="F200" s="219">
        <v>14095</v>
      </c>
      <c r="G200" s="93">
        <v>13100</v>
      </c>
      <c r="H200" s="93">
        <v>1336</v>
      </c>
      <c r="I200" s="93">
        <v>2760</v>
      </c>
      <c r="J200" s="93">
        <v>1170</v>
      </c>
      <c r="K200" s="108">
        <f>(F200*138.66)*SUM(1,Macrogegevens!$C$4,0.5*Macrogegevens!$C$6,Macrogegevens!$C$8)</f>
        <v>1994869.0428900002</v>
      </c>
      <c r="L200" s="108">
        <f t="shared" si="31"/>
        <v>877314</v>
      </c>
      <c r="M200" s="108">
        <v>2669919.4984019175</v>
      </c>
      <c r="N200" s="108">
        <v>1539878.9860229078</v>
      </c>
      <c r="O200" s="108">
        <v>0</v>
      </c>
      <c r="P200" s="108">
        <f t="shared" si="26"/>
        <v>4209798.4844248258</v>
      </c>
      <c r="Q200" s="108">
        <v>23592670</v>
      </c>
      <c r="R200" s="155">
        <v>-549.24509665584878</v>
      </c>
      <c r="S200" s="122">
        <v>0.121</v>
      </c>
      <c r="T200" s="122">
        <v>0.13</v>
      </c>
      <c r="U200" s="122">
        <v>0.1</v>
      </c>
      <c r="V200" s="122" t="s">
        <v>364</v>
      </c>
      <c r="W200" s="108">
        <v>1065600000</v>
      </c>
      <c r="X200" s="108">
        <v>180950000</v>
      </c>
      <c r="Y200" s="108">
        <v>215950000</v>
      </c>
      <c r="Z200" s="108">
        <f t="shared" si="27"/>
        <v>1289376</v>
      </c>
      <c r="AA200" s="108">
        <f t="shared" si="28"/>
        <v>451185</v>
      </c>
      <c r="AB200" s="108">
        <f t="shared" si="29"/>
        <v>2617875</v>
      </c>
      <c r="AC200" s="108">
        <f t="shared" si="30"/>
        <v>877314</v>
      </c>
    </row>
    <row r="201" spans="1:29" x14ac:dyDescent="0.2">
      <c r="A201" s="124" t="s">
        <v>240</v>
      </c>
      <c r="B201" s="99">
        <f t="shared" si="24"/>
        <v>-8.1188574433816527E-3</v>
      </c>
      <c r="C201" t="s">
        <v>689</v>
      </c>
      <c r="D201" s="99">
        <f t="shared" si="25"/>
        <v>7.0673712021136065E-2</v>
      </c>
      <c r="E201" s="123">
        <v>24121000</v>
      </c>
      <c r="F201" s="219">
        <v>10141</v>
      </c>
      <c r="G201" s="93">
        <v>9400</v>
      </c>
      <c r="H201" s="93">
        <v>757</v>
      </c>
      <c r="I201" s="93">
        <v>1470</v>
      </c>
      <c r="J201" s="93">
        <v>650</v>
      </c>
      <c r="K201" s="108">
        <f>(F201*138.66)*SUM(1,Macrogegevens!$C$4,0.5*Macrogegevens!$C$6,Macrogegevens!$C$8)</f>
        <v>1435258.3869420004</v>
      </c>
      <c r="L201" s="108">
        <f t="shared" si="31"/>
        <v>82362.900000000023</v>
      </c>
      <c r="M201" s="108">
        <v>2538165.9107933766</v>
      </c>
      <c r="N201" s="108">
        <v>1908346.8288955528</v>
      </c>
      <c r="O201" s="108">
        <v>0</v>
      </c>
      <c r="P201" s="108">
        <f t="shared" si="26"/>
        <v>4446512.7396889292</v>
      </c>
      <c r="Q201" s="108">
        <v>29070000</v>
      </c>
      <c r="R201" s="155">
        <v>925.46880979716798</v>
      </c>
      <c r="S201" s="122">
        <v>0.1638</v>
      </c>
      <c r="T201" s="122">
        <v>0.19600000000000001</v>
      </c>
      <c r="U201" s="122">
        <v>0.16270000000000001</v>
      </c>
      <c r="V201" s="122" t="s">
        <v>240</v>
      </c>
      <c r="W201" s="108">
        <v>520000000</v>
      </c>
      <c r="X201" s="108">
        <v>103950000</v>
      </c>
      <c r="Y201" s="108">
        <v>128799999.99999999</v>
      </c>
      <c r="Z201" s="108">
        <f t="shared" si="27"/>
        <v>851760</v>
      </c>
      <c r="AA201" s="108">
        <f t="shared" si="28"/>
        <v>413299.6</v>
      </c>
      <c r="AB201" s="108">
        <f t="shared" si="29"/>
        <v>1347422.5</v>
      </c>
      <c r="AC201" s="108">
        <f t="shared" si="30"/>
        <v>82362.900000000023</v>
      </c>
    </row>
    <row r="202" spans="1:29" x14ac:dyDescent="0.2">
      <c r="A202" s="124" t="s">
        <v>285</v>
      </c>
      <c r="B202" s="99">
        <f t="shared" si="24"/>
        <v>-8.5044104268027377E-4</v>
      </c>
      <c r="C202" t="s">
        <v>228</v>
      </c>
      <c r="D202" s="99">
        <f t="shared" si="25"/>
        <v>8.8028169014084501E-2</v>
      </c>
      <c r="E202" s="123">
        <v>54381000</v>
      </c>
      <c r="F202" s="219">
        <v>22472</v>
      </c>
      <c r="G202" s="93">
        <v>22300</v>
      </c>
      <c r="H202" s="93">
        <v>1420</v>
      </c>
      <c r="I202" s="93">
        <v>2950</v>
      </c>
      <c r="J202" s="93">
        <v>1170</v>
      </c>
      <c r="K202" s="108">
        <f>(F202*138.66)*SUM(1,Macrogegevens!$C$4,0.5*Macrogegevens!$C$6,Macrogegevens!$C$8)</f>
        <v>3180468.0476640007</v>
      </c>
      <c r="L202" s="108">
        <f t="shared" si="31"/>
        <v>88829.399999999907</v>
      </c>
      <c r="M202" s="108">
        <v>5352628.8537045866</v>
      </c>
      <c r="N202" s="108">
        <v>3351402.1863323613</v>
      </c>
      <c r="O202" s="108">
        <v>0</v>
      </c>
      <c r="P202" s="108">
        <f t="shared" si="26"/>
        <v>8704031.0400369484</v>
      </c>
      <c r="Q202" s="108">
        <v>55692000</v>
      </c>
      <c r="R202" s="155">
        <v>1531.8585243078553</v>
      </c>
      <c r="S202" s="122">
        <v>0.16170000000000001</v>
      </c>
      <c r="T202" s="122">
        <v>0.23780000000000001</v>
      </c>
      <c r="U202" s="122">
        <v>0.18590000000000001</v>
      </c>
      <c r="V202" s="122" t="s">
        <v>285</v>
      </c>
      <c r="W202" s="108">
        <v>1480800000</v>
      </c>
      <c r="X202" s="108">
        <v>250599999.99999997</v>
      </c>
      <c r="Y202" s="108">
        <v>289800000</v>
      </c>
      <c r="Z202" s="108">
        <f t="shared" si="27"/>
        <v>2394453.6</v>
      </c>
      <c r="AA202" s="108">
        <f t="shared" si="28"/>
        <v>1134665</v>
      </c>
      <c r="AB202" s="108">
        <f t="shared" si="29"/>
        <v>3617948</v>
      </c>
      <c r="AC202" s="108">
        <f t="shared" si="30"/>
        <v>88829.399999999907</v>
      </c>
    </row>
    <row r="203" spans="1:29" x14ac:dyDescent="0.2">
      <c r="A203" s="124" t="s">
        <v>325</v>
      </c>
      <c r="B203" s="99">
        <f t="shared" si="24"/>
        <v>3.3085194375516956E-3</v>
      </c>
      <c r="C203" t="s">
        <v>689</v>
      </c>
      <c r="D203" s="99">
        <f t="shared" si="25"/>
        <v>3.3755274261603373E-2</v>
      </c>
      <c r="E203" s="123">
        <v>42103694</v>
      </c>
      <c r="F203" s="219">
        <v>24180</v>
      </c>
      <c r="G203" s="93">
        <v>24900</v>
      </c>
      <c r="H203" s="93">
        <v>2370</v>
      </c>
      <c r="I203" s="93">
        <v>5565</v>
      </c>
      <c r="J203" s="93">
        <v>2210</v>
      </c>
      <c r="K203" s="108">
        <f>(F203*138.66)*SUM(1,Macrogegevens!$C$4,0.5*Macrogegevens!$C$6,Macrogegevens!$C$8)</f>
        <v>3422201.7351600002</v>
      </c>
      <c r="L203" s="108">
        <f t="shared" si="31"/>
        <v>1374577.95</v>
      </c>
      <c r="M203" s="108">
        <v>4483897.9459799211</v>
      </c>
      <c r="N203" s="108">
        <v>2615997.0861847769</v>
      </c>
      <c r="O203" s="108">
        <v>0</v>
      </c>
      <c r="P203" s="108">
        <f t="shared" si="26"/>
        <v>7099895.0321646985</v>
      </c>
      <c r="Q203" s="108">
        <v>40561398</v>
      </c>
      <c r="R203" s="155">
        <v>1291.673682438121</v>
      </c>
      <c r="S203" s="122">
        <v>0.10150000000000001</v>
      </c>
      <c r="T203" s="122">
        <v>0.2215</v>
      </c>
      <c r="U203" s="122">
        <v>0.1779</v>
      </c>
      <c r="V203" s="122" t="s">
        <v>325</v>
      </c>
      <c r="W203" s="108">
        <v>1894800000</v>
      </c>
      <c r="X203" s="108">
        <v>228550000</v>
      </c>
      <c r="Y203" s="108">
        <v>294700000</v>
      </c>
      <c r="Z203" s="108">
        <f t="shared" si="27"/>
        <v>1923222</v>
      </c>
      <c r="AA203" s="108">
        <f t="shared" si="28"/>
        <v>1030509.55</v>
      </c>
      <c r="AB203" s="108">
        <f t="shared" si="29"/>
        <v>4328309.5</v>
      </c>
      <c r="AC203" s="108">
        <f t="shared" si="30"/>
        <v>1374577.95</v>
      </c>
    </row>
    <row r="204" spans="1:29" x14ac:dyDescent="0.2">
      <c r="A204" s="124" t="s">
        <v>586</v>
      </c>
      <c r="B204" s="99">
        <f t="shared" si="24"/>
        <v>-8.7196390583724904E-3</v>
      </c>
      <c r="C204" t="s">
        <v>228</v>
      </c>
      <c r="D204" s="99">
        <f t="shared" si="25"/>
        <v>3.9711191335740074E-2</v>
      </c>
      <c r="E204" s="123">
        <v>41115827</v>
      </c>
      <c r="F204" s="219">
        <v>23765</v>
      </c>
      <c r="G204" s="93">
        <v>21900</v>
      </c>
      <c r="H204" s="93">
        <v>1662</v>
      </c>
      <c r="I204" s="93">
        <v>4075</v>
      </c>
      <c r="J204" s="93">
        <v>1530</v>
      </c>
      <c r="K204" s="108">
        <f>(F204*138.66)*SUM(1,Macrogegevens!$C$4,0.5*Macrogegevens!$C$6,Macrogegevens!$C$8)</f>
        <v>3363466.6764300005</v>
      </c>
      <c r="L204" s="108">
        <f t="shared" si="31"/>
        <v>1301578.9999999998</v>
      </c>
      <c r="M204" s="108">
        <v>4130645.802741833</v>
      </c>
      <c r="N204" s="108">
        <v>3527880.3064623401</v>
      </c>
      <c r="O204" s="108">
        <v>0</v>
      </c>
      <c r="P204" s="108">
        <f t="shared" si="26"/>
        <v>7658526.1092041731</v>
      </c>
      <c r="Q204" s="108">
        <v>41115826</v>
      </c>
      <c r="R204" s="155">
        <v>-1344.1812564366633</v>
      </c>
      <c r="S204" s="122">
        <v>0.1057</v>
      </c>
      <c r="T204" s="122">
        <v>0.18820000000000001</v>
      </c>
      <c r="U204" s="122">
        <v>0.151</v>
      </c>
      <c r="V204" s="122" t="s">
        <v>586</v>
      </c>
      <c r="W204" s="108">
        <v>1689600000</v>
      </c>
      <c r="X204" s="108">
        <v>335650000</v>
      </c>
      <c r="Y204" s="108">
        <v>335650000</v>
      </c>
      <c r="Z204" s="108">
        <f t="shared" si="27"/>
        <v>1785907.2</v>
      </c>
      <c r="AA204" s="108">
        <f t="shared" si="28"/>
        <v>1138524.8</v>
      </c>
      <c r="AB204" s="108">
        <f t="shared" si="29"/>
        <v>4226011</v>
      </c>
      <c r="AC204" s="108">
        <f t="shared" si="30"/>
        <v>1301578.9999999998</v>
      </c>
    </row>
    <row r="205" spans="1:29" x14ac:dyDescent="0.2">
      <c r="A205" s="124" t="s">
        <v>463</v>
      </c>
      <c r="B205" s="99">
        <f t="shared" si="24"/>
        <v>1.1364342048065577E-2</v>
      </c>
      <c r="C205" t="s">
        <v>621</v>
      </c>
      <c r="D205" s="99">
        <f t="shared" si="25"/>
        <v>2.5862068965517241E-2</v>
      </c>
      <c r="E205" s="123">
        <v>84199000</v>
      </c>
      <c r="F205" s="219">
        <v>32206</v>
      </c>
      <c r="G205" s="93">
        <v>35500</v>
      </c>
      <c r="H205" s="93">
        <v>1450</v>
      </c>
      <c r="I205" s="93">
        <v>3565</v>
      </c>
      <c r="J205" s="93">
        <v>1375</v>
      </c>
      <c r="K205" s="108">
        <f>(F205*138.66)*SUM(1,Macrogegevens!$C$4,0.5*Macrogegevens!$C$6,Macrogegevens!$C$8)</f>
        <v>4558123.6179720005</v>
      </c>
      <c r="L205" s="108">
        <f t="shared" si="31"/>
        <v>846263.25000000023</v>
      </c>
      <c r="M205" s="108">
        <v>6838311.5603642017</v>
      </c>
      <c r="N205" s="108">
        <v>4184790.2917644829</v>
      </c>
      <c r="O205" s="108">
        <v>0</v>
      </c>
      <c r="P205" s="108">
        <f t="shared" si="26"/>
        <v>11023101.852128685</v>
      </c>
      <c r="Q205" s="108">
        <v>83046000</v>
      </c>
      <c r="R205" s="155">
        <v>1851.6033047386913</v>
      </c>
      <c r="S205" s="122">
        <v>0.13739999999999999</v>
      </c>
      <c r="T205" s="122">
        <v>0.2198</v>
      </c>
      <c r="U205" s="122">
        <v>0.1575</v>
      </c>
      <c r="V205" s="122" t="s">
        <v>463</v>
      </c>
      <c r="W205" s="108">
        <v>2153200000</v>
      </c>
      <c r="X205" s="108">
        <v>258649999.99999997</v>
      </c>
      <c r="Y205" s="108">
        <v>260749999.99999997</v>
      </c>
      <c r="Z205" s="108">
        <f t="shared" si="27"/>
        <v>2958496.8</v>
      </c>
      <c r="AA205" s="108">
        <f t="shared" si="28"/>
        <v>979193.95</v>
      </c>
      <c r="AB205" s="108">
        <f t="shared" si="29"/>
        <v>4783954</v>
      </c>
      <c r="AC205" s="108">
        <f t="shared" si="30"/>
        <v>846263.25000000023</v>
      </c>
    </row>
    <row r="206" spans="1:29" x14ac:dyDescent="0.2">
      <c r="A206" s="124" t="s">
        <v>587</v>
      </c>
      <c r="B206" s="99">
        <f t="shared" si="24"/>
        <v>1.5434242410211294E-5</v>
      </c>
      <c r="C206" t="s">
        <v>621</v>
      </c>
      <c r="D206" s="99">
        <f t="shared" si="25"/>
        <v>2.5352513886910698E-2</v>
      </c>
      <c r="E206" s="123">
        <v>417737000</v>
      </c>
      <c r="F206" s="219">
        <v>122383</v>
      </c>
      <c r="G206" s="93">
        <v>122400</v>
      </c>
      <c r="H206" s="93">
        <v>7021</v>
      </c>
      <c r="I206" s="93">
        <v>16535</v>
      </c>
      <c r="J206" s="93">
        <v>6665</v>
      </c>
      <c r="K206" s="108">
        <f>(F206*138.66)*SUM(1,Macrogegevens!$C$4,0.5*Macrogegevens!$C$6,Macrogegevens!$C$8)</f>
        <v>17320898.054346003</v>
      </c>
      <c r="L206" s="108">
        <f t="shared" si="31"/>
        <v>2031857</v>
      </c>
      <c r="M206" s="108">
        <v>31961774.439410601</v>
      </c>
      <c r="N206" s="108">
        <v>21926812.817885455</v>
      </c>
      <c r="O206" s="108">
        <v>30381687.536515281</v>
      </c>
      <c r="P206" s="108">
        <f t="shared" si="26"/>
        <v>84270274.793811336</v>
      </c>
      <c r="Q206" s="108">
        <v>390457000</v>
      </c>
      <c r="R206" s="155">
        <v>1903.815815005104</v>
      </c>
      <c r="S206" s="122">
        <v>0.13100000000000001</v>
      </c>
      <c r="T206" s="122">
        <v>0.23799999999999999</v>
      </c>
      <c r="U206" s="122">
        <v>0.193</v>
      </c>
      <c r="V206" s="122" t="s">
        <v>587</v>
      </c>
      <c r="W206" s="108">
        <v>8286400000</v>
      </c>
      <c r="X206" s="108">
        <v>2646700000</v>
      </c>
      <c r="Y206" s="108">
        <v>2743300000</v>
      </c>
      <c r="Z206" s="108">
        <f t="shared" si="27"/>
        <v>10855184</v>
      </c>
      <c r="AA206" s="108">
        <f t="shared" si="28"/>
        <v>11593715</v>
      </c>
      <c r="AB206" s="108">
        <f t="shared" si="29"/>
        <v>24480756</v>
      </c>
      <c r="AC206" s="108">
        <f t="shared" si="30"/>
        <v>2031857</v>
      </c>
    </row>
    <row r="207" spans="1:29" x14ac:dyDescent="0.2">
      <c r="A207" s="124" t="s">
        <v>241</v>
      </c>
      <c r="B207" s="99">
        <f t="shared" si="24"/>
        <v>-1.1641443538998836E-3</v>
      </c>
      <c r="C207" t="s">
        <v>228</v>
      </c>
      <c r="D207" s="99">
        <f t="shared" si="25"/>
        <v>9.6083231334149324E-2</v>
      </c>
      <c r="E207" s="123">
        <v>19713998</v>
      </c>
      <c r="F207" s="219">
        <v>10308</v>
      </c>
      <c r="G207" s="93">
        <v>10200</v>
      </c>
      <c r="H207" s="93">
        <v>817</v>
      </c>
      <c r="I207" s="93">
        <v>1525</v>
      </c>
      <c r="J207" s="93">
        <v>660</v>
      </c>
      <c r="K207" s="108">
        <f>(F207*138.66)*SUM(1,Macrogegevens!$C$4,0.5*Macrogegevens!$C$6,Macrogegevens!$C$8)</f>
        <v>1458893.9406960004</v>
      </c>
      <c r="L207" s="108">
        <f t="shared" si="31"/>
        <v>506865.44999999995</v>
      </c>
      <c r="M207" s="108">
        <v>2568203.0691976431</v>
      </c>
      <c r="N207" s="108">
        <v>1206626.4112599834</v>
      </c>
      <c r="O207" s="108">
        <v>0</v>
      </c>
      <c r="P207" s="108">
        <f t="shared" si="26"/>
        <v>3774829.4804576263</v>
      </c>
      <c r="Q207" s="108">
        <v>23787301</v>
      </c>
      <c r="R207" s="155">
        <v>1674.8971193415639</v>
      </c>
      <c r="S207" s="122">
        <v>0.1149</v>
      </c>
      <c r="T207" s="122">
        <v>0.16919999999999999</v>
      </c>
      <c r="U207" s="122">
        <v>0.1353</v>
      </c>
      <c r="V207" s="122" t="s">
        <v>241</v>
      </c>
      <c r="W207" s="108">
        <v>674800000</v>
      </c>
      <c r="X207" s="108">
        <v>116900000</v>
      </c>
      <c r="Y207" s="108">
        <v>143850000</v>
      </c>
      <c r="Z207" s="108">
        <f t="shared" si="27"/>
        <v>775345.20000000007</v>
      </c>
      <c r="AA207" s="108">
        <f t="shared" si="28"/>
        <v>392423.85</v>
      </c>
      <c r="AB207" s="108">
        <f t="shared" si="29"/>
        <v>1674634.5</v>
      </c>
      <c r="AC207" s="108">
        <f t="shared" si="30"/>
        <v>506865.44999999995</v>
      </c>
    </row>
    <row r="208" spans="1:29" x14ac:dyDescent="0.2">
      <c r="A208" s="124" t="s">
        <v>411</v>
      </c>
      <c r="B208" s="99">
        <f t="shared" si="24"/>
        <v>-6.1282472703181341E-3</v>
      </c>
      <c r="C208" t="s">
        <v>689</v>
      </c>
      <c r="D208" s="99">
        <f t="shared" si="25"/>
        <v>2.842759846017175E-2</v>
      </c>
      <c r="E208" s="123">
        <v>83779000</v>
      </c>
      <c r="F208" s="219">
        <v>43605</v>
      </c>
      <c r="G208" s="93">
        <v>41200</v>
      </c>
      <c r="H208" s="93">
        <v>3377</v>
      </c>
      <c r="I208" s="93">
        <v>7935</v>
      </c>
      <c r="J208" s="93">
        <v>3185</v>
      </c>
      <c r="K208" s="108">
        <f>(F208*138.66)*SUM(1,Macrogegevens!$C$4,0.5*Macrogegevens!$C$6,Macrogegevens!$C$8)</f>
        <v>6171427.0745100006</v>
      </c>
      <c r="L208" s="108">
        <f t="shared" si="31"/>
        <v>3513331.8500000006</v>
      </c>
      <c r="M208" s="108">
        <v>8173673.1403723266</v>
      </c>
      <c r="N208" s="108">
        <v>4811000.4212575499</v>
      </c>
      <c r="O208" s="108">
        <v>0</v>
      </c>
      <c r="P208" s="108">
        <f t="shared" si="26"/>
        <v>12984673.561629876</v>
      </c>
      <c r="Q208" s="108">
        <v>84590000</v>
      </c>
      <c r="R208" s="161">
        <v>254.07799756257617</v>
      </c>
      <c r="S208" s="122">
        <v>8.9399999999999993E-2</v>
      </c>
      <c r="T208" s="122">
        <v>0.13639999999999999</v>
      </c>
      <c r="U208" s="122">
        <v>0.1139</v>
      </c>
      <c r="V208" s="122" t="s">
        <v>411</v>
      </c>
      <c r="W208" s="108">
        <v>3072400000</v>
      </c>
      <c r="X208" s="108">
        <v>667800000</v>
      </c>
      <c r="Y208" s="108">
        <v>731150000</v>
      </c>
      <c r="Z208" s="108">
        <f t="shared" si="27"/>
        <v>2746725.5999999996</v>
      </c>
      <c r="AA208" s="108">
        <f t="shared" si="28"/>
        <v>1743659.0499999998</v>
      </c>
      <c r="AB208" s="108">
        <f t="shared" si="29"/>
        <v>8003716.5</v>
      </c>
      <c r="AC208" s="108">
        <f t="shared" si="30"/>
        <v>3513331.8500000006</v>
      </c>
    </row>
    <row r="209" spans="1:29" x14ac:dyDescent="0.2">
      <c r="A209" s="124" t="s">
        <v>588</v>
      </c>
      <c r="B209" s="99">
        <f t="shared" si="24"/>
        <v>-5.0245398057799694E-3</v>
      </c>
      <c r="C209" t="s">
        <v>228</v>
      </c>
      <c r="D209" s="99">
        <f t="shared" si="25"/>
        <v>4.1166380789022301E-2</v>
      </c>
      <c r="E209" s="123">
        <v>38860000</v>
      </c>
      <c r="F209" s="219">
        <v>19062</v>
      </c>
      <c r="G209" s="93">
        <v>18200</v>
      </c>
      <c r="H209" s="93">
        <v>1166</v>
      </c>
      <c r="I209" s="93">
        <v>2585</v>
      </c>
      <c r="J209" s="93">
        <v>1070</v>
      </c>
      <c r="K209" s="108">
        <f>(F209*138.66)*SUM(1,Macrogegevens!$C$4,0.5*Macrogegevens!$C$6,Macrogegevens!$C$8)</f>
        <v>2697849.8542440003</v>
      </c>
      <c r="L209" s="108">
        <f t="shared" si="31"/>
        <v>926332.75</v>
      </c>
      <c r="M209" s="108">
        <v>4619189.3805267289</v>
      </c>
      <c r="N209" s="108">
        <v>2772510.1707216399</v>
      </c>
      <c r="O209" s="108">
        <v>0</v>
      </c>
      <c r="P209" s="108">
        <f t="shared" si="26"/>
        <v>7391699.5512483688</v>
      </c>
      <c r="Q209" s="108">
        <v>38604000</v>
      </c>
      <c r="R209" s="155">
        <v>3436.7492972144137</v>
      </c>
      <c r="S209" s="122">
        <v>0.1246</v>
      </c>
      <c r="T209" s="122">
        <v>0.1623</v>
      </c>
      <c r="U209" s="122">
        <v>0.13039999999999999</v>
      </c>
      <c r="V209" s="122" t="s">
        <v>588</v>
      </c>
      <c r="W209" s="108">
        <v>1526000000</v>
      </c>
      <c r="X209" s="108">
        <v>129849999.99999999</v>
      </c>
      <c r="Y209" s="108">
        <v>153300000</v>
      </c>
      <c r="Z209" s="108">
        <f t="shared" si="27"/>
        <v>1901396</v>
      </c>
      <c r="AA209" s="108">
        <f t="shared" si="28"/>
        <v>410649.75</v>
      </c>
      <c r="AB209" s="108">
        <f t="shared" si="29"/>
        <v>3238378.5</v>
      </c>
      <c r="AC209" s="108">
        <f t="shared" si="30"/>
        <v>926332.75</v>
      </c>
    </row>
    <row r="210" spans="1:29" s="127" customFormat="1" x14ac:dyDescent="0.2">
      <c r="A210" s="124" t="s">
        <v>265</v>
      </c>
      <c r="B210" s="99">
        <f t="shared" si="24"/>
        <v>-1.7385342442273316E-3</v>
      </c>
      <c r="C210" t="s">
        <v>689</v>
      </c>
      <c r="D210" s="99">
        <f t="shared" si="25"/>
        <v>6.55829596412556E-2</v>
      </c>
      <c r="E210" s="123">
        <v>23516000</v>
      </c>
      <c r="F210" s="219">
        <v>13613</v>
      </c>
      <c r="G210" s="126">
        <v>13400</v>
      </c>
      <c r="H210" s="93">
        <v>892</v>
      </c>
      <c r="I210" s="126">
        <v>1830</v>
      </c>
      <c r="J210" s="93">
        <v>775</v>
      </c>
      <c r="K210" s="108">
        <f>(F210*138.66)*SUM(1,Macrogegevens!$C$4,0.5*Macrogegevens!$C$6,Macrogegevens!$C$8)</f>
        <v>1926651.4566060002</v>
      </c>
      <c r="L210" s="128">
        <f t="shared" si="31"/>
        <v>292453.09999999986</v>
      </c>
      <c r="M210" s="128">
        <v>2810694.5393880825</v>
      </c>
      <c r="N210" s="128">
        <v>1887116.1832542969</v>
      </c>
      <c r="O210" s="128">
        <v>0</v>
      </c>
      <c r="P210" s="108">
        <f t="shared" si="26"/>
        <v>4697810.7226423789</v>
      </c>
      <c r="Q210" s="108">
        <v>24419000</v>
      </c>
      <c r="R210" s="155">
        <v>1324.7745126563864</v>
      </c>
      <c r="S210" s="129">
        <v>0.14360000000000001</v>
      </c>
      <c r="T210" s="129">
        <v>0.1991</v>
      </c>
      <c r="U210" s="129">
        <v>0.13739999999999999</v>
      </c>
      <c r="V210" s="129" t="s">
        <v>265</v>
      </c>
      <c r="W210" s="128">
        <v>743600000</v>
      </c>
      <c r="X210" s="128">
        <v>97300000</v>
      </c>
      <c r="Y210" s="128">
        <v>117250000</v>
      </c>
      <c r="Z210" s="108">
        <f t="shared" si="27"/>
        <v>1067809.6000000001</v>
      </c>
      <c r="AA210" s="108">
        <f t="shared" si="28"/>
        <v>354825.80000000005</v>
      </c>
      <c r="AB210" s="108">
        <f t="shared" si="29"/>
        <v>1715088.5</v>
      </c>
      <c r="AC210" s="108">
        <f t="shared" si="30"/>
        <v>292453.09999999986</v>
      </c>
    </row>
    <row r="211" spans="1:29" x14ac:dyDescent="0.2">
      <c r="A211" s="124" t="s">
        <v>242</v>
      </c>
      <c r="B211" s="99">
        <f t="shared" si="24"/>
        <v>-1.0871447187366157E-2</v>
      </c>
      <c r="C211" t="s">
        <v>228</v>
      </c>
      <c r="D211" s="99">
        <f t="shared" si="25"/>
        <v>3.8690476190476192E-2</v>
      </c>
      <c r="E211" s="123">
        <v>30239729</v>
      </c>
      <c r="F211" s="219">
        <v>12193</v>
      </c>
      <c r="G211" s="93">
        <v>11000</v>
      </c>
      <c r="H211" s="93">
        <v>672</v>
      </c>
      <c r="I211" s="93">
        <v>1390</v>
      </c>
      <c r="J211" s="93">
        <v>620</v>
      </c>
      <c r="K211" s="108">
        <f>(F211*138.66)*SUM(1,Macrogegevens!$C$4,0.5*Macrogegevens!$C$6,Macrogegevens!$C$8)</f>
        <v>1725678.4845660001</v>
      </c>
      <c r="L211" s="108">
        <f t="shared" si="31"/>
        <v>0</v>
      </c>
      <c r="M211" s="108">
        <v>4043570.9738885211</v>
      </c>
      <c r="N211" s="108">
        <v>1911832.2241354759</v>
      </c>
      <c r="O211" s="108">
        <v>0</v>
      </c>
      <c r="P211" s="108">
        <f t="shared" si="26"/>
        <v>5955403.1980239972</v>
      </c>
      <c r="Q211" s="108">
        <v>31741897</v>
      </c>
      <c r="R211" s="155">
        <v>1270.9749660081579</v>
      </c>
      <c r="S211" s="122">
        <v>0.16120000000000001</v>
      </c>
      <c r="T211" s="122">
        <v>0.309</v>
      </c>
      <c r="U211" s="122">
        <v>0.2472</v>
      </c>
      <c r="V211" s="122" t="s">
        <v>242</v>
      </c>
      <c r="W211" s="108">
        <v>648000000</v>
      </c>
      <c r="X211" s="108">
        <v>149800000</v>
      </c>
      <c r="Y211" s="108">
        <v>161700000</v>
      </c>
      <c r="Z211" s="108">
        <f t="shared" si="27"/>
        <v>1044576.0000000001</v>
      </c>
      <c r="AA211" s="108">
        <f t="shared" si="28"/>
        <v>862604.4</v>
      </c>
      <c r="AB211" s="108">
        <f t="shared" si="29"/>
        <v>1717505</v>
      </c>
      <c r="AC211" s="108">
        <f t="shared" si="30"/>
        <v>-189675.40000000014</v>
      </c>
    </row>
    <row r="212" spans="1:29" x14ac:dyDescent="0.2">
      <c r="A212" s="124" t="s">
        <v>222</v>
      </c>
      <c r="B212" s="99">
        <f t="shared" si="24"/>
        <v>1.0475406671340465E-2</v>
      </c>
      <c r="C212" t="s">
        <v>621</v>
      </c>
      <c r="D212" s="99">
        <f t="shared" si="25"/>
        <v>3.017832647462277E-2</v>
      </c>
      <c r="E212" s="123">
        <v>95563000</v>
      </c>
      <c r="F212" s="219">
        <v>32807</v>
      </c>
      <c r="G212" s="93">
        <v>35900</v>
      </c>
      <c r="H212" s="93">
        <v>2187</v>
      </c>
      <c r="I212" s="93">
        <v>4950</v>
      </c>
      <c r="J212" s="93">
        <v>2055</v>
      </c>
      <c r="K212" s="108">
        <f>(F212*138.66)*SUM(1,Macrogegevens!$C$4,0.5*Macrogegevens!$C$6,Macrogegevens!$C$8)</f>
        <v>4643183.3054340007</v>
      </c>
      <c r="L212" s="108">
        <f t="shared" si="31"/>
        <v>579982.00000000047</v>
      </c>
      <c r="M212" s="108">
        <v>8293514.3536403673</v>
      </c>
      <c r="N212" s="108">
        <v>5363955.0322512975</v>
      </c>
      <c r="O212" s="108">
        <v>0</v>
      </c>
      <c r="P212" s="108">
        <f t="shared" si="26"/>
        <v>13657469.385891665</v>
      </c>
      <c r="Q212" s="108">
        <v>111487000</v>
      </c>
      <c r="R212" s="155">
        <v>3684.4771140898142</v>
      </c>
      <c r="S212" s="122">
        <v>0.126</v>
      </c>
      <c r="T212" s="122">
        <v>0.26100000000000001</v>
      </c>
      <c r="U212" s="122">
        <v>0.20899999999999999</v>
      </c>
      <c r="V212" s="122" t="s">
        <v>222</v>
      </c>
      <c r="W212" s="108">
        <v>2168000000</v>
      </c>
      <c r="X212" s="108">
        <v>501899999.99999994</v>
      </c>
      <c r="Y212" s="108">
        <v>524999999.99999994</v>
      </c>
      <c r="Z212" s="108">
        <f t="shared" si="27"/>
        <v>2731680</v>
      </c>
      <c r="AA212" s="108">
        <f t="shared" si="28"/>
        <v>2407208.9999999995</v>
      </c>
      <c r="AB212" s="108">
        <f t="shared" si="29"/>
        <v>5718871</v>
      </c>
      <c r="AC212" s="108">
        <f t="shared" si="30"/>
        <v>579982.00000000047</v>
      </c>
    </row>
    <row r="213" spans="1:29" x14ac:dyDescent="0.2">
      <c r="A213" s="125" t="s">
        <v>500</v>
      </c>
      <c r="B213" s="99">
        <f t="shared" si="24"/>
        <v>1.0486319705552171E-2</v>
      </c>
      <c r="C213" t="s">
        <v>621</v>
      </c>
      <c r="D213" s="99">
        <f t="shared" si="25"/>
        <v>4.6734234234234236E-2</v>
      </c>
      <c r="E213" s="123">
        <v>141226000</v>
      </c>
      <c r="F213" s="219">
        <v>47607</v>
      </c>
      <c r="G213" s="93">
        <v>52100</v>
      </c>
      <c r="H213" s="93">
        <v>2664</v>
      </c>
      <c r="I213" s="93">
        <v>6030</v>
      </c>
      <c r="J213" s="93">
        <v>2415</v>
      </c>
      <c r="K213" s="108">
        <f>(F213*138.66)*SUM(1,Macrogegevens!$C$4,0.5*Macrogegevens!$C$6,Macrogegevens!$C$8)</f>
        <v>6737831.1830340009</v>
      </c>
      <c r="L213" s="108">
        <f t="shared" si="31"/>
        <v>2255399.9999999991</v>
      </c>
      <c r="M213" s="108">
        <v>12477131.411890414</v>
      </c>
      <c r="N213" s="108">
        <v>7698133.8883399591</v>
      </c>
      <c r="O213" s="108">
        <v>0</v>
      </c>
      <c r="P213" s="108">
        <f t="shared" si="26"/>
        <v>20175265.300230373</v>
      </c>
      <c r="Q213" s="108">
        <v>140431000</v>
      </c>
      <c r="R213" s="155">
        <v>5741.8171969081404</v>
      </c>
      <c r="S213" s="122">
        <v>0.1038</v>
      </c>
      <c r="T213" s="122">
        <v>0.21079999999999999</v>
      </c>
      <c r="U213" s="122">
        <v>0.16950000000000001</v>
      </c>
      <c r="V213" s="122" t="s">
        <v>500</v>
      </c>
      <c r="W213" s="108">
        <v>3225600000</v>
      </c>
      <c r="X213" s="108">
        <v>773150000</v>
      </c>
      <c r="Y213" s="108">
        <v>795900000</v>
      </c>
      <c r="Z213" s="108">
        <f t="shared" si="27"/>
        <v>3348172.8000000003</v>
      </c>
      <c r="AA213" s="108">
        <f t="shared" si="28"/>
        <v>2978850.7</v>
      </c>
      <c r="AB213" s="108">
        <f t="shared" si="29"/>
        <v>8582423.5</v>
      </c>
      <c r="AC213" s="108">
        <f t="shared" si="30"/>
        <v>2255399.9999999991</v>
      </c>
    </row>
    <row r="214" spans="1:29" x14ac:dyDescent="0.2">
      <c r="A214" s="124" t="s">
        <v>464</v>
      </c>
      <c r="B214" s="99">
        <f t="shared" si="24"/>
        <v>-6.4143681847338033E-4</v>
      </c>
      <c r="C214" t="s">
        <v>689</v>
      </c>
      <c r="D214" s="99">
        <f t="shared" si="25"/>
        <v>6.5521374350779066E-2</v>
      </c>
      <c r="E214" s="123">
        <v>20702280</v>
      </c>
      <c r="F214" s="219">
        <v>18708</v>
      </c>
      <c r="G214" s="93">
        <v>18600</v>
      </c>
      <c r="H214" s="93">
        <v>2503</v>
      </c>
      <c r="I214" s="93">
        <v>2810</v>
      </c>
      <c r="J214" s="93">
        <v>2175</v>
      </c>
      <c r="K214" s="108">
        <f>(F214*138.66)*SUM(1,Macrogegevens!$C$4,0.5*Macrogegevens!$C$6,Macrogegevens!$C$8)</f>
        <v>2647748.1414960003</v>
      </c>
      <c r="L214" s="108">
        <f t="shared" si="31"/>
        <v>1468244.6</v>
      </c>
      <c r="M214" s="108">
        <v>2106587.5302131698</v>
      </c>
      <c r="N214" s="108">
        <v>1429190.4144333492</v>
      </c>
      <c r="O214" s="108">
        <v>0</v>
      </c>
      <c r="P214" s="108">
        <f t="shared" si="26"/>
        <v>3535777.9446465187</v>
      </c>
      <c r="Q214" s="108">
        <v>19563062</v>
      </c>
      <c r="R214" s="155">
        <v>-474.23141419787589</v>
      </c>
      <c r="S214" s="122">
        <v>0.1154</v>
      </c>
      <c r="T214" s="122">
        <v>0.20899999999999999</v>
      </c>
      <c r="U214" s="122">
        <v>0.14979999999999999</v>
      </c>
      <c r="V214" s="122" t="s">
        <v>635</v>
      </c>
      <c r="W214" s="108">
        <v>2280400000</v>
      </c>
      <c r="X214" s="108">
        <v>507849999.99999994</v>
      </c>
      <c r="Y214" s="108">
        <v>583100000</v>
      </c>
      <c r="Z214" s="108">
        <f t="shared" si="27"/>
        <v>2631581.6</v>
      </c>
      <c r="AA214" s="108">
        <f t="shared" si="28"/>
        <v>1934890.2999999998</v>
      </c>
      <c r="AB214" s="108">
        <f t="shared" si="29"/>
        <v>6034716.5</v>
      </c>
      <c r="AC214" s="108">
        <f t="shared" si="30"/>
        <v>1468244.6</v>
      </c>
    </row>
    <row r="215" spans="1:29" x14ac:dyDescent="0.2">
      <c r="A215" s="124" t="s">
        <v>223</v>
      </c>
      <c r="B215" s="99">
        <f t="shared" si="24"/>
        <v>-7.6463775661757098E-3</v>
      </c>
      <c r="C215" t="s">
        <v>228</v>
      </c>
      <c r="D215" s="99">
        <f t="shared" si="25"/>
        <v>4.1396103896103896E-2</v>
      </c>
      <c r="E215" s="123">
        <v>65187000</v>
      </c>
      <c r="F215" s="219">
        <v>33291</v>
      </c>
      <c r="G215" s="93">
        <v>31000</v>
      </c>
      <c r="H215" s="93">
        <v>1232</v>
      </c>
      <c r="I215" s="93">
        <v>4875</v>
      </c>
      <c r="J215" s="93">
        <v>1130</v>
      </c>
      <c r="K215" s="108">
        <f>(F215*138.66)*SUM(1,Macrogegevens!$C$4,0.5*Macrogegevens!$C$6,Macrogegevens!$C$8)</f>
        <v>4711683.952242</v>
      </c>
      <c r="L215" s="108">
        <f t="shared" si="31"/>
        <v>1264420.0499999996</v>
      </c>
      <c r="M215" s="108">
        <v>7116837.4644401865</v>
      </c>
      <c r="N215" s="108">
        <v>5441820.5021284334</v>
      </c>
      <c r="O215" s="108">
        <v>0</v>
      </c>
      <c r="P215" s="108">
        <f t="shared" si="26"/>
        <v>12558657.966568619</v>
      </c>
      <c r="Q215" s="108">
        <v>66479000</v>
      </c>
      <c r="R215" s="155">
        <v>1276.1620977353994</v>
      </c>
      <c r="S215" s="122">
        <v>0.10730000000000001</v>
      </c>
      <c r="T215" s="122">
        <v>0.1835</v>
      </c>
      <c r="U215" s="122">
        <v>0.1472</v>
      </c>
      <c r="V215" s="122" t="s">
        <v>464</v>
      </c>
      <c r="W215" s="108">
        <v>1650800000</v>
      </c>
      <c r="X215" s="108">
        <v>279650000</v>
      </c>
      <c r="Y215" s="108">
        <v>293650000</v>
      </c>
      <c r="Z215" s="108">
        <f t="shared" si="27"/>
        <v>1771308.4000000004</v>
      </c>
      <c r="AA215" s="108">
        <f t="shared" si="28"/>
        <v>945410.55</v>
      </c>
      <c r="AB215" s="108">
        <f t="shared" si="29"/>
        <v>3981139</v>
      </c>
      <c r="AC215" s="108">
        <f t="shared" si="30"/>
        <v>1264420.0499999996</v>
      </c>
    </row>
    <row r="216" spans="1:29" x14ac:dyDescent="0.2">
      <c r="A216" s="124" t="s">
        <v>546</v>
      </c>
      <c r="B216" s="99">
        <f t="shared" si="24"/>
        <v>-7.5755245973900829E-3</v>
      </c>
      <c r="C216" t="s">
        <v>689</v>
      </c>
      <c r="D216" s="99">
        <f t="shared" si="25"/>
        <v>3.5219399538106239E-2</v>
      </c>
      <c r="E216" s="123">
        <v>21498720</v>
      </c>
      <c r="F216" s="219">
        <v>10839</v>
      </c>
      <c r="G216" s="93">
        <v>10100</v>
      </c>
      <c r="H216" s="93">
        <v>866</v>
      </c>
      <c r="I216" s="93">
        <v>1960</v>
      </c>
      <c r="J216" s="93">
        <v>805</v>
      </c>
      <c r="K216" s="108">
        <f>(F216*138.66)*SUM(1,Macrogegevens!$C$4,0.5*Macrogegevens!$C$6,Macrogegevens!$C$8)</f>
        <v>1534046.5098180003</v>
      </c>
      <c r="L216" s="108">
        <f t="shared" si="31"/>
        <v>238826.64999999979</v>
      </c>
      <c r="M216" s="108">
        <v>1844617.1497153239</v>
      </c>
      <c r="N216" s="108">
        <v>1156354.3881237304</v>
      </c>
      <c r="O216" s="108">
        <v>0</v>
      </c>
      <c r="P216" s="108">
        <f t="shared" si="26"/>
        <v>3000971.5378390541</v>
      </c>
      <c r="Q216" s="108">
        <v>22911752</v>
      </c>
      <c r="R216" s="155">
        <v>-376.9377209681806</v>
      </c>
      <c r="S216" s="122">
        <v>0.1396</v>
      </c>
      <c r="T216" s="122">
        <v>0.23530000000000001</v>
      </c>
      <c r="U216" s="122">
        <v>0.18920000000000001</v>
      </c>
      <c r="V216" s="122" t="s">
        <v>546</v>
      </c>
      <c r="W216" s="108">
        <v>869200000</v>
      </c>
      <c r="X216" s="108">
        <v>152250000</v>
      </c>
      <c r="Y216" s="108">
        <v>175700000</v>
      </c>
      <c r="Z216" s="108">
        <f t="shared" si="27"/>
        <v>1213403.2000000002</v>
      </c>
      <c r="AA216" s="108">
        <f t="shared" si="28"/>
        <v>690668.65</v>
      </c>
      <c r="AB216" s="108">
        <f t="shared" si="29"/>
        <v>2142898.5</v>
      </c>
      <c r="AC216" s="108">
        <f t="shared" si="30"/>
        <v>238826.64999999979</v>
      </c>
    </row>
    <row r="217" spans="1:29" x14ac:dyDescent="0.2">
      <c r="A217" s="124" t="s">
        <v>547</v>
      </c>
      <c r="B217" s="99">
        <f t="shared" si="24"/>
        <v>-6.6879134675744845E-3</v>
      </c>
      <c r="C217" t="s">
        <v>689</v>
      </c>
      <c r="D217" s="99">
        <f t="shared" si="25"/>
        <v>3.0670711156049881E-2</v>
      </c>
      <c r="E217" s="123">
        <v>72843000</v>
      </c>
      <c r="F217" s="219">
        <v>36816</v>
      </c>
      <c r="G217" s="93">
        <v>34600</v>
      </c>
      <c r="H217" s="93">
        <v>2967</v>
      </c>
      <c r="I217" s="93">
        <v>7140</v>
      </c>
      <c r="J217" s="93">
        <v>2785</v>
      </c>
      <c r="K217" s="108">
        <f>(F217*138.66)*SUM(1,Macrogegevens!$C$4,0.5*Macrogegevens!$C$6,Macrogegevens!$C$8)</f>
        <v>5210578.1257920004</v>
      </c>
      <c r="L217" s="108">
        <f t="shared" si="31"/>
        <v>944037.40000000224</v>
      </c>
      <c r="M217" s="108">
        <v>7432162.6438727062</v>
      </c>
      <c r="N217" s="108">
        <v>4653016.9252896402</v>
      </c>
      <c r="O217" s="108">
        <v>0</v>
      </c>
      <c r="P217" s="108">
        <f t="shared" si="26"/>
        <v>12085179.569162346</v>
      </c>
      <c r="Q217" s="108">
        <v>71361000</v>
      </c>
      <c r="R217" s="155">
        <v>-236.88964309174511</v>
      </c>
      <c r="S217" s="122">
        <v>9.0999999999999998E-2</v>
      </c>
      <c r="T217" s="122">
        <v>0.23419999999999999</v>
      </c>
      <c r="U217" s="122">
        <v>0.19220000000000001</v>
      </c>
      <c r="V217" s="122" t="s">
        <v>547</v>
      </c>
      <c r="W217" s="108">
        <v>2680000000</v>
      </c>
      <c r="X217" s="108">
        <v>2057649999.9999998</v>
      </c>
      <c r="Y217" s="108">
        <v>2110149999.9999998</v>
      </c>
      <c r="Z217" s="108">
        <f t="shared" si="27"/>
        <v>2438800</v>
      </c>
      <c r="AA217" s="108">
        <f t="shared" si="28"/>
        <v>8874724.5999999978</v>
      </c>
      <c r="AB217" s="108">
        <f t="shared" si="29"/>
        <v>12257562</v>
      </c>
      <c r="AC217" s="108">
        <f t="shared" si="30"/>
        <v>944037.40000000224</v>
      </c>
    </row>
    <row r="218" spans="1:29" x14ac:dyDescent="0.2">
      <c r="A218" s="124" t="s">
        <v>465</v>
      </c>
      <c r="B218" s="99">
        <f t="shared" si="24"/>
        <v>-2.6371065421707065E-3</v>
      </c>
      <c r="C218" t="s">
        <v>689</v>
      </c>
      <c r="D218" s="99">
        <f t="shared" si="25"/>
        <v>5.9762773722627741E-2</v>
      </c>
      <c r="E218" s="123">
        <v>77347000</v>
      </c>
      <c r="F218" s="219">
        <v>28988</v>
      </c>
      <c r="G218" s="93">
        <v>28300</v>
      </c>
      <c r="H218" s="93">
        <v>2192</v>
      </c>
      <c r="I218" s="93">
        <v>4710</v>
      </c>
      <c r="J218" s="93">
        <v>1930</v>
      </c>
      <c r="K218" s="108">
        <f>(F218*138.66)*SUM(1,Macrogegevens!$C$4,0.5*Macrogegevens!$C$6,Macrogegevens!$C$8)</f>
        <v>4102679.2348560006</v>
      </c>
      <c r="L218" s="108">
        <f t="shared" si="31"/>
        <v>1606264.2000000002</v>
      </c>
      <c r="M218" s="108">
        <v>6441086.0241362276</v>
      </c>
      <c r="N218" s="108">
        <v>2710172.3155583958</v>
      </c>
      <c r="O218" s="108">
        <v>0</v>
      </c>
      <c r="P218" s="108">
        <f t="shared" si="26"/>
        <v>9151258.3396946229</v>
      </c>
      <c r="Q218" s="108">
        <v>65244000</v>
      </c>
      <c r="R218" s="155">
        <v>1736.4655706129188</v>
      </c>
      <c r="S218" s="122">
        <v>0.107</v>
      </c>
      <c r="T218" s="122">
        <v>0.1777</v>
      </c>
      <c r="U218" s="122">
        <v>0.15</v>
      </c>
      <c r="V218" s="122" t="s">
        <v>465</v>
      </c>
      <c r="W218" s="108">
        <v>2062800000</v>
      </c>
      <c r="X218" s="108">
        <v>379400000</v>
      </c>
      <c r="Y218" s="108">
        <v>400400000</v>
      </c>
      <c r="Z218" s="108">
        <f t="shared" si="27"/>
        <v>2207196</v>
      </c>
      <c r="AA218" s="108">
        <f t="shared" si="28"/>
        <v>1274793.7999999998</v>
      </c>
      <c r="AB218" s="108">
        <f t="shared" si="29"/>
        <v>5088254</v>
      </c>
      <c r="AC218" s="108">
        <f t="shared" si="30"/>
        <v>1606264.2000000002</v>
      </c>
    </row>
    <row r="219" spans="1:29" x14ac:dyDescent="0.2">
      <c r="A219" s="124" t="s">
        <v>327</v>
      </c>
      <c r="B219" s="99">
        <f t="shared" si="24"/>
        <v>-6.1222424610402754E-3</v>
      </c>
      <c r="C219" t="s">
        <v>228</v>
      </c>
      <c r="D219" s="99">
        <f t="shared" si="25"/>
        <v>5.9775571860164002E-2</v>
      </c>
      <c r="E219" s="123">
        <v>80692000</v>
      </c>
      <c r="F219" s="219">
        <v>35136</v>
      </c>
      <c r="G219" s="93">
        <v>33200</v>
      </c>
      <c r="H219" s="93">
        <v>2317</v>
      </c>
      <c r="I219" s="93">
        <v>5185</v>
      </c>
      <c r="J219" s="93">
        <v>2040</v>
      </c>
      <c r="K219" s="108">
        <f>(F219*138.66)*SUM(1,Macrogegevens!$C$4,0.5*Macrogegevens!$C$6,Macrogegevens!$C$8)</f>
        <v>4972807.2856320003</v>
      </c>
      <c r="L219" s="108">
        <f t="shared" si="31"/>
        <v>1121150.1000000001</v>
      </c>
      <c r="M219" s="108">
        <v>8198812.6688567726</v>
      </c>
      <c r="N219" s="108">
        <v>6635308.4643735783</v>
      </c>
      <c r="O219" s="108">
        <v>0</v>
      </c>
      <c r="P219" s="108">
        <f t="shared" si="26"/>
        <v>14834121.133230351</v>
      </c>
      <c r="Q219" s="108">
        <v>88118000</v>
      </c>
      <c r="R219" s="155">
        <v>1803.4338667955315</v>
      </c>
      <c r="S219" s="122">
        <v>0.1384</v>
      </c>
      <c r="T219" s="122">
        <v>0.18390000000000001</v>
      </c>
      <c r="U219" s="122">
        <v>0.1482</v>
      </c>
      <c r="V219" s="122" t="s">
        <v>327</v>
      </c>
      <c r="W219" s="108">
        <v>2475600000</v>
      </c>
      <c r="X219" s="108">
        <v>396900000</v>
      </c>
      <c r="Y219" s="108">
        <v>439950000</v>
      </c>
      <c r="Z219" s="108">
        <f t="shared" si="27"/>
        <v>3426230.4</v>
      </c>
      <c r="AA219" s="108">
        <f t="shared" si="28"/>
        <v>1381905</v>
      </c>
      <c r="AB219" s="108">
        <f t="shared" si="29"/>
        <v>5929285.5</v>
      </c>
      <c r="AC219" s="108">
        <f t="shared" si="30"/>
        <v>1121150.1000000001</v>
      </c>
    </row>
    <row r="220" spans="1:29" x14ac:dyDescent="0.2">
      <c r="A220" s="124" t="s">
        <v>618</v>
      </c>
      <c r="B220" s="99">
        <f t="shared" si="24"/>
        <v>-5.5307847866871334E-3</v>
      </c>
      <c r="C220" t="s">
        <v>689</v>
      </c>
      <c r="D220" s="99">
        <f t="shared" si="25"/>
        <v>5.2631578947368418E-2</v>
      </c>
      <c r="E220" s="123">
        <v>22350000</v>
      </c>
      <c r="F220" s="219">
        <v>13681</v>
      </c>
      <c r="G220" s="93">
        <v>13000</v>
      </c>
      <c r="H220" s="93">
        <v>1140</v>
      </c>
      <c r="I220" s="93">
        <v>2545</v>
      </c>
      <c r="J220" s="93">
        <v>1020</v>
      </c>
      <c r="K220" s="108">
        <f>(F220*138.66)*SUM(1,Macrogegevens!$C$4,0.5*Macrogegevens!$C$6,Macrogegevens!$C$8)</f>
        <v>1936275.5144220004</v>
      </c>
      <c r="L220" s="108">
        <f t="shared" si="31"/>
        <v>493863.30000000005</v>
      </c>
      <c r="M220" s="108">
        <v>2603614.0325658643</v>
      </c>
      <c r="N220" s="108">
        <v>1374045.8093882874</v>
      </c>
      <c r="O220" s="108">
        <v>0</v>
      </c>
      <c r="P220" s="108">
        <f t="shared" si="26"/>
        <v>3977659.8419541516</v>
      </c>
      <c r="Q220" s="108">
        <v>24278000</v>
      </c>
      <c r="R220" s="155">
        <v>439.1581443604565</v>
      </c>
      <c r="S220" s="122">
        <v>0.12520000000000001</v>
      </c>
      <c r="T220" s="122">
        <v>0.2356</v>
      </c>
      <c r="U220" s="122">
        <v>0.1898</v>
      </c>
      <c r="V220" s="122" t="s">
        <v>365</v>
      </c>
      <c r="W220" s="108">
        <v>1120000000</v>
      </c>
      <c r="X220" s="108">
        <v>157850000</v>
      </c>
      <c r="Y220" s="108">
        <v>179200000</v>
      </c>
      <c r="Z220" s="108">
        <f t="shared" si="27"/>
        <v>1402240</v>
      </c>
      <c r="AA220" s="108">
        <f t="shared" si="28"/>
        <v>712016.2</v>
      </c>
      <c r="AB220" s="108">
        <f t="shared" si="29"/>
        <v>2608119.5</v>
      </c>
      <c r="AC220" s="108">
        <f t="shared" si="30"/>
        <v>493863.30000000005</v>
      </c>
    </row>
    <row r="221" spans="1:29" x14ac:dyDescent="0.2">
      <c r="A221" s="124" t="s">
        <v>589</v>
      </c>
      <c r="B221" s="99">
        <f t="shared" si="24"/>
        <v>-3.7504652294654871E-3</v>
      </c>
      <c r="C221" t="s">
        <v>689</v>
      </c>
      <c r="D221" s="99">
        <f t="shared" si="25"/>
        <v>3.0938123752495009E-2</v>
      </c>
      <c r="E221" s="123">
        <v>13782067</v>
      </c>
      <c r="F221" s="219">
        <v>7762</v>
      </c>
      <c r="G221" s="93">
        <v>7500</v>
      </c>
      <c r="H221" s="93">
        <v>501</v>
      </c>
      <c r="I221" s="93">
        <v>1195</v>
      </c>
      <c r="J221" s="93">
        <v>470</v>
      </c>
      <c r="K221" s="108">
        <f>(F221*138.66)*SUM(1,Macrogegevens!$C$4,0.5*Macrogegevens!$C$6,Macrogegevens!$C$8)</f>
        <v>1098557.8936440002</v>
      </c>
      <c r="L221" s="108">
        <f t="shared" si="31"/>
        <v>455938.7</v>
      </c>
      <c r="M221" s="108">
        <v>911757.10686280939</v>
      </c>
      <c r="N221" s="108">
        <v>763543.21717369487</v>
      </c>
      <c r="O221" s="108">
        <v>0</v>
      </c>
      <c r="P221" s="108">
        <f t="shared" si="26"/>
        <v>1675300.3240365041</v>
      </c>
      <c r="Q221" s="108">
        <v>13897666</v>
      </c>
      <c r="R221" s="155">
        <v>-38.389862094670143</v>
      </c>
      <c r="S221" s="122">
        <v>0.1207</v>
      </c>
      <c r="T221" s="122">
        <v>0.2082</v>
      </c>
      <c r="U221" s="122">
        <v>0.16650000000000001</v>
      </c>
      <c r="V221" s="122" t="s">
        <v>589</v>
      </c>
      <c r="W221" s="108">
        <v>798000000</v>
      </c>
      <c r="X221" s="108">
        <v>60899999.999999993</v>
      </c>
      <c r="Y221" s="108">
        <v>67900000</v>
      </c>
      <c r="Z221" s="108">
        <f t="shared" si="27"/>
        <v>963186</v>
      </c>
      <c r="AA221" s="108">
        <f t="shared" si="28"/>
        <v>239847.3</v>
      </c>
      <c r="AB221" s="108">
        <f t="shared" si="29"/>
        <v>1658972</v>
      </c>
      <c r="AC221" s="108">
        <f t="shared" si="30"/>
        <v>455938.7</v>
      </c>
    </row>
    <row r="222" spans="1:29" x14ac:dyDescent="0.2">
      <c r="A222" s="124" t="s">
        <v>412</v>
      </c>
      <c r="B222" s="99">
        <f t="shared" si="24"/>
        <v>2.4E-2</v>
      </c>
      <c r="C222" t="s">
        <v>689</v>
      </c>
      <c r="D222" s="99">
        <f t="shared" si="25"/>
        <v>3.6541889483065956E-2</v>
      </c>
      <c r="E222" s="123">
        <v>18859000</v>
      </c>
      <c r="F222" s="219">
        <v>6250</v>
      </c>
      <c r="G222" s="93">
        <v>7600</v>
      </c>
      <c r="H222" s="93">
        <v>561</v>
      </c>
      <c r="I222" s="93">
        <v>1460</v>
      </c>
      <c r="J222" s="93">
        <v>520</v>
      </c>
      <c r="K222" s="108">
        <f>(F222*138.66)*SUM(1,Macrogegevens!$C$4,0.5*Macrogegevens!$C$6,Macrogegevens!$C$8)</f>
        <v>884564.13750000019</v>
      </c>
      <c r="L222" s="108">
        <f t="shared" si="31"/>
        <v>519445.05</v>
      </c>
      <c r="M222" s="108">
        <v>774755.74642398057</v>
      </c>
      <c r="N222" s="108">
        <v>423147.2198057627</v>
      </c>
      <c r="O222" s="108">
        <v>0</v>
      </c>
      <c r="P222" s="108">
        <f t="shared" si="26"/>
        <v>1197902.9662297433</v>
      </c>
      <c r="Q222" s="108">
        <v>15512000</v>
      </c>
      <c r="R222" s="155">
        <v>-688.92307692307691</v>
      </c>
      <c r="S222" s="122">
        <v>0.1087</v>
      </c>
      <c r="T222" s="122">
        <v>0.1973</v>
      </c>
      <c r="U222" s="122">
        <v>0.15790000000000001</v>
      </c>
      <c r="V222" s="122" t="s">
        <v>412</v>
      </c>
      <c r="W222" s="108">
        <v>732400000</v>
      </c>
      <c r="X222" s="108">
        <v>118299999.99999999</v>
      </c>
      <c r="Y222" s="108">
        <v>124249999.99999999</v>
      </c>
      <c r="Z222" s="108">
        <f t="shared" si="27"/>
        <v>796118.8</v>
      </c>
      <c r="AA222" s="108">
        <f t="shared" si="28"/>
        <v>429596.64999999997</v>
      </c>
      <c r="AB222" s="108">
        <f t="shared" si="29"/>
        <v>1745160.5</v>
      </c>
      <c r="AC222" s="108">
        <f t="shared" si="30"/>
        <v>519445.05</v>
      </c>
    </row>
    <row r="223" spans="1:29" x14ac:dyDescent="0.2">
      <c r="A223" s="124" t="s">
        <v>413</v>
      </c>
      <c r="B223" s="99">
        <f t="shared" si="24"/>
        <v>-6.3929774209604334E-3</v>
      </c>
      <c r="C223" t="s">
        <v>689</v>
      </c>
      <c r="D223" s="99">
        <f t="shared" si="25"/>
        <v>1.8375815056312982E-2</v>
      </c>
      <c r="E223" s="123">
        <v>30399319</v>
      </c>
      <c r="F223" s="219">
        <v>17189</v>
      </c>
      <c r="G223" s="93">
        <v>16200</v>
      </c>
      <c r="H223" s="93">
        <v>1687</v>
      </c>
      <c r="I223" s="93">
        <v>4380</v>
      </c>
      <c r="J223" s="93">
        <v>1625</v>
      </c>
      <c r="K223" s="108">
        <f>(F223*138.66)*SUM(1,Macrogegevens!$C$4,0.5*Macrogegevens!$C$6,Macrogegevens!$C$8)</f>
        <v>2432763.6735180002</v>
      </c>
      <c r="L223" s="108">
        <f t="shared" si="31"/>
        <v>1781475.3499999996</v>
      </c>
      <c r="M223" s="108">
        <v>2352344.4215638926</v>
      </c>
      <c r="N223" s="108">
        <v>1553184.6001753223</v>
      </c>
      <c r="O223" s="108">
        <v>0</v>
      </c>
      <c r="P223" s="108">
        <f t="shared" si="26"/>
        <v>3905529.0217392147</v>
      </c>
      <c r="Q223" s="108">
        <v>31172866</v>
      </c>
      <c r="R223" s="155">
        <v>1627.9151119402984</v>
      </c>
      <c r="S223" s="122">
        <v>0.10580000000000001</v>
      </c>
      <c r="T223" s="122">
        <v>0.16589999999999999</v>
      </c>
      <c r="U223" s="122">
        <v>0.13789999999999999</v>
      </c>
      <c r="V223" s="122" t="s">
        <v>413</v>
      </c>
      <c r="W223" s="108">
        <v>2232000000</v>
      </c>
      <c r="X223" s="108">
        <v>269500000</v>
      </c>
      <c r="Y223" s="108">
        <v>273350000</v>
      </c>
      <c r="Z223" s="108">
        <f t="shared" si="27"/>
        <v>2361456.0000000005</v>
      </c>
      <c r="AA223" s="108">
        <f t="shared" si="28"/>
        <v>824050.14999999991</v>
      </c>
      <c r="AB223" s="108">
        <f t="shared" si="29"/>
        <v>4966981.5</v>
      </c>
      <c r="AC223" s="108">
        <f t="shared" si="30"/>
        <v>1781475.3499999996</v>
      </c>
    </row>
    <row r="224" spans="1:29" x14ac:dyDescent="0.2">
      <c r="A224" s="124" t="s">
        <v>328</v>
      </c>
      <c r="B224" s="99">
        <f t="shared" si="24"/>
        <v>-1.138096914232078E-2</v>
      </c>
      <c r="C224" t="s">
        <v>689</v>
      </c>
      <c r="D224" s="99">
        <f t="shared" si="25"/>
        <v>4.6174142480211081E-2</v>
      </c>
      <c r="E224" s="123">
        <v>51451000</v>
      </c>
      <c r="F224" s="219">
        <v>22728</v>
      </c>
      <c r="G224" s="93">
        <v>20400</v>
      </c>
      <c r="H224" s="93">
        <v>1895</v>
      </c>
      <c r="I224" s="93">
        <v>4190</v>
      </c>
      <c r="J224" s="93">
        <v>1720</v>
      </c>
      <c r="K224" s="108">
        <f>(F224*138.66)*SUM(1,Macrogegevens!$C$4,0.5*Macrogegevens!$C$6,Macrogegevens!$C$8)</f>
        <v>3216699.7947360007</v>
      </c>
      <c r="L224" s="108">
        <f t="shared" si="31"/>
        <v>0</v>
      </c>
      <c r="M224" s="108">
        <v>4920138.1415236015</v>
      </c>
      <c r="N224" s="108">
        <v>2755826.7132186042</v>
      </c>
      <c r="O224" s="108">
        <v>0</v>
      </c>
      <c r="P224" s="108">
        <f t="shared" si="26"/>
        <v>7675964.8547422057</v>
      </c>
      <c r="Q224" s="108">
        <v>50814000</v>
      </c>
      <c r="R224" s="155">
        <v>1698.8427260231456</v>
      </c>
      <c r="S224" s="122">
        <v>0.18779999999999999</v>
      </c>
      <c r="T224" s="122">
        <v>0.25719999999999998</v>
      </c>
      <c r="U224" s="122">
        <v>0.19</v>
      </c>
      <c r="V224" s="122" t="s">
        <v>328</v>
      </c>
      <c r="W224" s="108">
        <v>1407600000</v>
      </c>
      <c r="X224" s="108">
        <v>258999999.99999997</v>
      </c>
      <c r="Y224" s="108">
        <v>281750000</v>
      </c>
      <c r="Z224" s="108">
        <f t="shared" si="27"/>
        <v>2643472.7999999998</v>
      </c>
      <c r="AA224" s="108">
        <f t="shared" si="28"/>
        <v>1201473</v>
      </c>
      <c r="AB224" s="108">
        <f t="shared" si="29"/>
        <v>3487546.5</v>
      </c>
      <c r="AC224" s="108">
        <f t="shared" si="30"/>
        <v>-357399.29999999981</v>
      </c>
    </row>
    <row r="225" spans="1:29" x14ac:dyDescent="0.2">
      <c r="A225" s="124" t="s">
        <v>590</v>
      </c>
      <c r="B225" s="99">
        <f t="shared" si="24"/>
        <v>-7.0893791824024385E-3</v>
      </c>
      <c r="C225" t="s">
        <v>228</v>
      </c>
      <c r="D225" s="99">
        <f t="shared" si="25"/>
        <v>5.4607508532423209E-2</v>
      </c>
      <c r="E225" s="123">
        <v>32320598</v>
      </c>
      <c r="F225" s="219">
        <v>16770</v>
      </c>
      <c r="G225" s="93">
        <v>15700</v>
      </c>
      <c r="H225" s="93">
        <v>1465</v>
      </c>
      <c r="I225" s="93">
        <v>3160</v>
      </c>
      <c r="J225" s="93">
        <v>1305</v>
      </c>
      <c r="K225" s="108">
        <f>(F225*138.66)*SUM(1,Macrogegevens!$C$4,0.5*Macrogegevens!$C$6,Macrogegevens!$C$8)</f>
        <v>2373462.4937400003</v>
      </c>
      <c r="L225" s="108">
        <f t="shared" si="31"/>
        <v>499408.59999999986</v>
      </c>
      <c r="M225" s="108">
        <v>3366634.5767462151</v>
      </c>
      <c r="N225" s="108">
        <v>2687107.1450971705</v>
      </c>
      <c r="O225" s="108">
        <v>0</v>
      </c>
      <c r="P225" s="108">
        <f t="shared" si="26"/>
        <v>6053741.7218433861</v>
      </c>
      <c r="Q225" s="108">
        <v>33577326</v>
      </c>
      <c r="R225" s="155">
        <v>-327.87378816161862</v>
      </c>
      <c r="S225" s="122">
        <v>0.12620000000000001</v>
      </c>
      <c r="T225" s="122">
        <v>0.23350000000000001</v>
      </c>
      <c r="U225" s="122">
        <v>0.18740000000000001</v>
      </c>
      <c r="V225" s="122" t="s">
        <v>590</v>
      </c>
      <c r="W225" s="108">
        <v>1264400000</v>
      </c>
      <c r="X225" s="108">
        <v>267399999.99999997</v>
      </c>
      <c r="Y225" s="108">
        <v>267399999.99999997</v>
      </c>
      <c r="Z225" s="108">
        <f t="shared" si="27"/>
        <v>1595672.8</v>
      </c>
      <c r="AA225" s="108">
        <f t="shared" si="28"/>
        <v>1125486.6000000001</v>
      </c>
      <c r="AB225" s="108">
        <f t="shared" si="29"/>
        <v>3220568</v>
      </c>
      <c r="AC225" s="108">
        <f t="shared" si="30"/>
        <v>499408.59999999986</v>
      </c>
    </row>
    <row r="226" spans="1:29" x14ac:dyDescent="0.2">
      <c r="A226" s="124" t="s">
        <v>329</v>
      </c>
      <c r="B226" s="99">
        <f t="shared" si="24"/>
        <v>-5.8712750636977958E-3</v>
      </c>
      <c r="C226" t="s">
        <v>689</v>
      </c>
      <c r="D226" s="99">
        <f t="shared" si="25"/>
        <v>4.1666666666666664E-2</v>
      </c>
      <c r="E226" s="123">
        <v>20400748</v>
      </c>
      <c r="F226" s="219">
        <v>12036</v>
      </c>
      <c r="G226" s="93">
        <v>11400</v>
      </c>
      <c r="H226" s="93">
        <v>1200</v>
      </c>
      <c r="I226" s="93">
        <v>2650</v>
      </c>
      <c r="J226" s="93">
        <v>1100</v>
      </c>
      <c r="K226" s="108">
        <f>(F226*138.66)*SUM(1,Macrogegevens!$C$4,0.5*Macrogegevens!$C$6,Macrogegevens!$C$8)</f>
        <v>1703458.2334320003</v>
      </c>
      <c r="L226" s="108">
        <f t="shared" si="31"/>
        <v>848554</v>
      </c>
      <c r="M226" s="108">
        <v>2081520.2491553219</v>
      </c>
      <c r="N226" s="108">
        <v>1228301.4535285004</v>
      </c>
      <c r="O226" s="108">
        <v>0</v>
      </c>
      <c r="P226" s="108">
        <f t="shared" si="26"/>
        <v>3309821.7026838223</v>
      </c>
      <c r="Q226" s="108">
        <v>21036916</v>
      </c>
      <c r="R226" s="155">
        <v>1222.5589225589226</v>
      </c>
      <c r="S226" s="122">
        <v>9.2899999999999996E-2</v>
      </c>
      <c r="T226" s="122">
        <v>0.18559999999999999</v>
      </c>
      <c r="U226" s="122">
        <v>0.14879999999999999</v>
      </c>
      <c r="V226" s="122" t="s">
        <v>329</v>
      </c>
      <c r="W226" s="108">
        <v>932400000</v>
      </c>
      <c r="X226" s="108">
        <v>149100000</v>
      </c>
      <c r="Y226" s="108">
        <v>184100000</v>
      </c>
      <c r="Z226" s="108">
        <f t="shared" si="27"/>
        <v>866199.6</v>
      </c>
      <c r="AA226" s="108">
        <f t="shared" si="28"/>
        <v>550670.39999999991</v>
      </c>
      <c r="AB226" s="108">
        <f t="shared" si="29"/>
        <v>2265424</v>
      </c>
      <c r="AC226" s="108">
        <f t="shared" si="30"/>
        <v>848554</v>
      </c>
    </row>
    <row r="227" spans="1:29" x14ac:dyDescent="0.2">
      <c r="A227" s="124" t="s">
        <v>366</v>
      </c>
      <c r="B227" s="99">
        <f t="shared" si="24"/>
        <v>-2.6587159091321271E-3</v>
      </c>
      <c r="C227" t="s">
        <v>621</v>
      </c>
      <c r="D227" s="99">
        <f t="shared" si="25"/>
        <v>7.9822036116199944E-3</v>
      </c>
      <c r="E227" s="123">
        <v>142782000</v>
      </c>
      <c r="F227" s="219">
        <v>61266</v>
      </c>
      <c r="G227" s="93">
        <v>59800</v>
      </c>
      <c r="H227" s="93">
        <v>3821</v>
      </c>
      <c r="I227" s="93">
        <v>8850</v>
      </c>
      <c r="J227" s="93">
        <v>3760</v>
      </c>
      <c r="K227" s="108">
        <f>(F227*138.66)*SUM(1,Macrogegevens!$C$4,0.5*Macrogegevens!$C$6,Macrogegevens!$C$8)</f>
        <v>8670993.031692002</v>
      </c>
      <c r="L227" s="108">
        <f t="shared" si="31"/>
        <v>1342158.8500000006</v>
      </c>
      <c r="M227" s="108">
        <v>15118854.349261355</v>
      </c>
      <c r="N227" s="108">
        <v>7027565.4645989202</v>
      </c>
      <c r="O227" s="108">
        <v>0</v>
      </c>
      <c r="P227" s="108">
        <f t="shared" si="26"/>
        <v>22146419.813860275</v>
      </c>
      <c r="Q227" s="108">
        <v>148507000</v>
      </c>
      <c r="R227" s="155">
        <v>1041.9567787703627</v>
      </c>
      <c r="S227" s="122">
        <v>0.1099</v>
      </c>
      <c r="T227" s="122">
        <v>0.27210000000000001</v>
      </c>
      <c r="U227" s="122">
        <v>0.2177</v>
      </c>
      <c r="V227" s="122" t="s">
        <v>366</v>
      </c>
      <c r="W227" s="108">
        <v>4403600000</v>
      </c>
      <c r="X227" s="108">
        <v>1289050000</v>
      </c>
      <c r="Y227" s="108">
        <v>1293600000</v>
      </c>
      <c r="Z227" s="108">
        <f t="shared" si="27"/>
        <v>4839556.3999999994</v>
      </c>
      <c r="AA227" s="108">
        <f t="shared" si="28"/>
        <v>6323672.25</v>
      </c>
      <c r="AB227" s="108">
        <f t="shared" si="29"/>
        <v>12505387.5</v>
      </c>
      <c r="AC227" s="108">
        <f t="shared" si="30"/>
        <v>1342158.8500000006</v>
      </c>
    </row>
    <row r="228" spans="1:29" x14ac:dyDescent="0.2">
      <c r="A228" s="124" t="s">
        <v>467</v>
      </c>
      <c r="B228" s="99">
        <f t="shared" si="24"/>
        <v>-3.3476335058368468E-3</v>
      </c>
      <c r="C228" t="s">
        <v>689</v>
      </c>
      <c r="D228" s="99">
        <f t="shared" si="25"/>
        <v>4.6933085501858735E-2</v>
      </c>
      <c r="E228" s="123">
        <v>88900000</v>
      </c>
      <c r="F228" s="219">
        <v>27117</v>
      </c>
      <c r="G228" s="93">
        <v>26300</v>
      </c>
      <c r="H228" s="93">
        <v>2152</v>
      </c>
      <c r="I228" s="93">
        <v>4835</v>
      </c>
      <c r="J228" s="93">
        <v>1950</v>
      </c>
      <c r="K228" s="108">
        <f>(F228*138.66)*SUM(1,Macrogegevens!$C$4,0.5*Macrogegevens!$C$6,Macrogegevens!$C$8)</f>
        <v>3837876.1146540004</v>
      </c>
      <c r="L228" s="108">
        <f t="shared" si="31"/>
        <v>136652.39999999991</v>
      </c>
      <c r="M228" s="108">
        <v>5256662.5289615346</v>
      </c>
      <c r="N228" s="108">
        <v>2319985.6093831784</v>
      </c>
      <c r="O228" s="108">
        <v>0</v>
      </c>
      <c r="P228" s="108">
        <f t="shared" si="26"/>
        <v>7576648.1383447126</v>
      </c>
      <c r="Q228" s="108">
        <v>89987000</v>
      </c>
      <c r="R228" s="155">
        <v>714.95413866092315</v>
      </c>
      <c r="S228" s="122">
        <v>0.14849999999999999</v>
      </c>
      <c r="T228" s="122">
        <v>0.27410000000000001</v>
      </c>
      <c r="U228" s="122">
        <v>0.2208</v>
      </c>
      <c r="V228" s="122" t="s">
        <v>467</v>
      </c>
      <c r="W228" s="108">
        <v>2301200000</v>
      </c>
      <c r="X228" s="108">
        <v>402500000</v>
      </c>
      <c r="Y228" s="108">
        <v>436450000</v>
      </c>
      <c r="Z228" s="108">
        <f t="shared" si="27"/>
        <v>3417282</v>
      </c>
      <c r="AA228" s="108">
        <f t="shared" si="28"/>
        <v>2066934.1</v>
      </c>
      <c r="AB228" s="108">
        <f t="shared" si="29"/>
        <v>5620868.5</v>
      </c>
      <c r="AC228" s="108">
        <f t="shared" si="30"/>
        <v>136652.39999999991</v>
      </c>
    </row>
    <row r="229" spans="1:29" x14ac:dyDescent="0.2">
      <c r="A229" s="124" t="s">
        <v>330</v>
      </c>
      <c r="B229" s="99">
        <f t="shared" si="24"/>
        <v>2.8197200945163652E-3</v>
      </c>
      <c r="C229" t="s">
        <v>689</v>
      </c>
      <c r="D229" s="99">
        <f t="shared" si="25"/>
        <v>4.355238685678859E-2</v>
      </c>
      <c r="E229" s="123">
        <v>80539000</v>
      </c>
      <c r="F229" s="219">
        <v>40863</v>
      </c>
      <c r="G229" s="93">
        <v>41900</v>
      </c>
      <c r="H229" s="93">
        <v>3226</v>
      </c>
      <c r="I229" s="93">
        <v>7605</v>
      </c>
      <c r="J229" s="93">
        <v>2945</v>
      </c>
      <c r="K229" s="108">
        <f>(F229*138.66)*SUM(1,Macrogegevens!$C$4,0.5*Macrogegevens!$C$6,Macrogegevens!$C$8)</f>
        <v>5783351.0961060012</v>
      </c>
      <c r="L229" s="108">
        <f t="shared" si="31"/>
        <v>3011066.45</v>
      </c>
      <c r="M229" s="108">
        <v>8448528.1237212457</v>
      </c>
      <c r="N229" s="108">
        <v>4839383.6447071228</v>
      </c>
      <c r="O229" s="108">
        <v>0</v>
      </c>
      <c r="P229" s="108">
        <f t="shared" si="26"/>
        <v>13287911.768428368</v>
      </c>
      <c r="Q229" s="108">
        <v>80898000</v>
      </c>
      <c r="R229" s="155">
        <v>1112.1705700844757</v>
      </c>
      <c r="S229" s="122">
        <v>0.1062</v>
      </c>
      <c r="T229" s="122">
        <v>0.17349999999999999</v>
      </c>
      <c r="U229" s="122">
        <v>0.12889999999999999</v>
      </c>
      <c r="V229" s="122" t="s">
        <v>330</v>
      </c>
      <c r="W229" s="108">
        <v>3423600000</v>
      </c>
      <c r="X229" s="108">
        <v>905450000</v>
      </c>
      <c r="Y229" s="108">
        <v>935900000</v>
      </c>
      <c r="Z229" s="108">
        <f t="shared" si="27"/>
        <v>3635863.2</v>
      </c>
      <c r="AA229" s="108">
        <f t="shared" si="28"/>
        <v>2777330.8499999996</v>
      </c>
      <c r="AB229" s="108">
        <f t="shared" si="29"/>
        <v>9424260.5</v>
      </c>
      <c r="AC229" s="108">
        <f t="shared" si="30"/>
        <v>3011066.45</v>
      </c>
    </row>
    <row r="230" spans="1:29" x14ac:dyDescent="0.2">
      <c r="A230" s="124" t="s">
        <v>331</v>
      </c>
      <c r="B230" s="99">
        <f t="shared" si="24"/>
        <v>8.5067368876178273E-3</v>
      </c>
      <c r="C230" t="s">
        <v>621</v>
      </c>
      <c r="D230" s="99">
        <f t="shared" si="25"/>
        <v>4.0617910770227937E-2</v>
      </c>
      <c r="E230" s="123">
        <v>748717000</v>
      </c>
      <c r="F230" s="219">
        <v>170636</v>
      </c>
      <c r="G230" s="93">
        <v>183700</v>
      </c>
      <c r="H230" s="93">
        <v>9257</v>
      </c>
      <c r="I230" s="93">
        <v>20745</v>
      </c>
      <c r="J230" s="93">
        <v>8505</v>
      </c>
      <c r="K230" s="108">
        <f>(F230*138.66)*SUM(1,Macrogegevens!$C$4,0.5*Macrogegevens!$C$6,Macrogegevens!$C$8)</f>
        <v>24150157.786632001</v>
      </c>
      <c r="L230" s="108">
        <f t="shared" si="31"/>
        <v>0</v>
      </c>
      <c r="M230" s="108">
        <v>41236156.878899112</v>
      </c>
      <c r="N230" s="108">
        <v>20885665.554771602</v>
      </c>
      <c r="O230" s="108">
        <v>48347524.807077475</v>
      </c>
      <c r="P230" s="108">
        <f t="shared" si="26"/>
        <v>110469347.2407482</v>
      </c>
      <c r="Q230" s="108">
        <v>775654000</v>
      </c>
      <c r="R230" s="155">
        <v>3858.24389585366</v>
      </c>
      <c r="S230" s="122">
        <v>0.21149999999999999</v>
      </c>
      <c r="T230" s="122">
        <v>0.434</v>
      </c>
      <c r="U230" s="122">
        <v>0.33639999999999998</v>
      </c>
      <c r="V230" s="122" t="s">
        <v>331</v>
      </c>
      <c r="W230" s="108">
        <v>11358000000</v>
      </c>
      <c r="X230" s="108">
        <v>3182200000</v>
      </c>
      <c r="Y230" s="108">
        <v>3208800000</v>
      </c>
      <c r="Z230" s="108">
        <f t="shared" si="27"/>
        <v>24022170</v>
      </c>
      <c r="AA230" s="108">
        <f t="shared" si="28"/>
        <v>24605151.199999999</v>
      </c>
      <c r="AB230" s="108">
        <f t="shared" si="29"/>
        <v>31770710</v>
      </c>
      <c r="AC230" s="108">
        <f t="shared" si="30"/>
        <v>-16856611.199999999</v>
      </c>
    </row>
    <row r="231" spans="1:29" x14ac:dyDescent="0.2">
      <c r="A231" s="124" t="s">
        <v>743</v>
      </c>
      <c r="B231" s="99">
        <v>-2.2299079542097682E-3</v>
      </c>
      <c r="C231" t="s">
        <v>228</v>
      </c>
      <c r="D231" s="99">
        <v>3.6089601769911502E-2</v>
      </c>
      <c r="E231" s="123">
        <v>255175900</v>
      </c>
      <c r="F231" s="219">
        <v>85006</v>
      </c>
      <c r="G231" s="93">
        <v>83300</v>
      </c>
      <c r="H231" s="93">
        <v>3616</v>
      </c>
      <c r="I231" s="93">
        <v>8420</v>
      </c>
      <c r="J231" s="108">
        <v>3355</v>
      </c>
      <c r="K231" s="108">
        <v>12030921.451572001</v>
      </c>
      <c r="L231" s="108">
        <v>2271850</v>
      </c>
      <c r="M231" s="108">
        <v>22296906.528745394</v>
      </c>
      <c r="N231" s="108">
        <v>9651170.9717970882</v>
      </c>
      <c r="O231" s="108">
        <v>15351744.647530181</v>
      </c>
      <c r="P231" s="108">
        <v>47299822.148072667</v>
      </c>
      <c r="Q231" s="108">
        <v>234402400</v>
      </c>
      <c r="R231" s="155">
        <v>5246</v>
      </c>
      <c r="S231" s="122">
        <v>0.123</v>
      </c>
      <c r="T231" s="122">
        <v>0.219</v>
      </c>
      <c r="U231" s="122">
        <v>0.20399999999999999</v>
      </c>
      <c r="V231" s="122" t="s">
        <v>743</v>
      </c>
      <c r="W231" s="108">
        <v>5114000000</v>
      </c>
      <c r="X231" s="108">
        <v>901600000</v>
      </c>
      <c r="Y231" s="108">
        <v>925400000</v>
      </c>
      <c r="Z231" s="108">
        <v>6290220</v>
      </c>
      <c r="AA231" s="108">
        <v>3862320</v>
      </c>
      <c r="AB231" s="108">
        <v>12424390</v>
      </c>
      <c r="AC231" s="108">
        <v>2271850</v>
      </c>
    </row>
    <row r="232" spans="1:29" x14ac:dyDescent="0.2">
      <c r="A232" s="124" t="s">
        <v>501</v>
      </c>
      <c r="B232" s="99">
        <f t="shared" si="24"/>
        <v>-3.482966351256409E-3</v>
      </c>
      <c r="C232" t="s">
        <v>689</v>
      </c>
      <c r="D232" s="99">
        <f t="shared" si="25"/>
        <v>3.5661218424962851E-2</v>
      </c>
      <c r="E232" s="123">
        <v>20634140</v>
      </c>
      <c r="F232" s="219">
        <v>7433</v>
      </c>
      <c r="G232" s="93">
        <v>7200</v>
      </c>
      <c r="H232" s="93">
        <v>673</v>
      </c>
      <c r="I232" s="93">
        <v>1460</v>
      </c>
      <c r="J232" s="93">
        <v>625</v>
      </c>
      <c r="K232" s="108">
        <f>(F232*138.66)*SUM(1,Macrogegevens!$C$4,0.5*Macrogegevens!$C$6,Macrogegevens!$C$8)</f>
        <v>1051994.4374460003</v>
      </c>
      <c r="L232" s="108">
        <f t="shared" si="31"/>
        <v>696774.55</v>
      </c>
      <c r="M232" s="108">
        <v>2557941.7077985341</v>
      </c>
      <c r="N232" s="108">
        <v>816106.96967837785</v>
      </c>
      <c r="O232" s="108">
        <v>0</v>
      </c>
      <c r="P232" s="108">
        <f t="shared" si="26"/>
        <v>3374048.6774769118</v>
      </c>
      <c r="Q232" s="108">
        <v>18871768</v>
      </c>
      <c r="R232" s="155">
        <v>1111.9372718669731</v>
      </c>
      <c r="S232" s="122">
        <v>0.1234</v>
      </c>
      <c r="T232" s="122">
        <v>0.12189999999999999</v>
      </c>
      <c r="U232" s="122">
        <v>0.1158</v>
      </c>
      <c r="V232" s="122" t="s">
        <v>501</v>
      </c>
      <c r="W232" s="108">
        <v>893600000</v>
      </c>
      <c r="X232" s="108">
        <v>156450000</v>
      </c>
      <c r="Y232" s="108">
        <v>175000000</v>
      </c>
      <c r="Z232" s="108">
        <f t="shared" si="27"/>
        <v>1102702.3999999999</v>
      </c>
      <c r="AA232" s="108">
        <f t="shared" si="28"/>
        <v>393362.55000000005</v>
      </c>
      <c r="AB232" s="108">
        <f t="shared" si="29"/>
        <v>2192839.5</v>
      </c>
      <c r="AC232" s="108">
        <f t="shared" si="30"/>
        <v>696774.55</v>
      </c>
    </row>
    <row r="233" spans="1:29" x14ac:dyDescent="0.2">
      <c r="A233" s="124" t="s">
        <v>224</v>
      </c>
      <c r="B233" s="99">
        <f t="shared" si="24"/>
        <v>-3.0319243802389871E-3</v>
      </c>
      <c r="C233" t="s">
        <v>228</v>
      </c>
      <c r="D233" s="99">
        <f t="shared" si="25"/>
        <v>5.93061415846226E-2</v>
      </c>
      <c r="E233" s="123">
        <v>78408000</v>
      </c>
      <c r="F233" s="219">
        <v>31150</v>
      </c>
      <c r="G233" s="93">
        <v>30300</v>
      </c>
      <c r="H233" s="93">
        <v>2133</v>
      </c>
      <c r="I233" s="93">
        <v>4685</v>
      </c>
      <c r="J233" s="93">
        <v>1880</v>
      </c>
      <c r="K233" s="108">
        <f>(F233*138.66)*SUM(1,Macrogegevens!$C$4,0.5*Macrogegevens!$C$6,Macrogegevens!$C$8)</f>
        <v>4408667.6613000007</v>
      </c>
      <c r="L233" s="108">
        <f t="shared" si="31"/>
        <v>2018306.81</v>
      </c>
      <c r="M233" s="108">
        <v>5955565.0317144943</v>
      </c>
      <c r="N233" s="108">
        <v>4573246.2359293718</v>
      </c>
      <c r="O233" s="108">
        <v>0</v>
      </c>
      <c r="P233" s="108">
        <f t="shared" si="26"/>
        <v>10528811.267643865</v>
      </c>
      <c r="Q233" s="108">
        <v>80825000</v>
      </c>
      <c r="R233" s="155">
        <v>2158.3354972734355</v>
      </c>
      <c r="S233" s="122">
        <v>0.11393</v>
      </c>
      <c r="T233" s="122">
        <v>0.14265</v>
      </c>
      <c r="U233" s="122">
        <v>0.11958000000000001</v>
      </c>
      <c r="V233" s="122" t="s">
        <v>224</v>
      </c>
      <c r="W233" s="108">
        <v>2337200000</v>
      </c>
      <c r="X233" s="108">
        <v>498399999.99999994</v>
      </c>
      <c r="Y233" s="108">
        <v>532349999.99999994</v>
      </c>
      <c r="Z233" s="108">
        <f t="shared" si="27"/>
        <v>2662771.96</v>
      </c>
      <c r="AA233" s="108">
        <f t="shared" si="28"/>
        <v>1347551.73</v>
      </c>
      <c r="AB233" s="108">
        <f t="shared" si="29"/>
        <v>6028630.5</v>
      </c>
      <c r="AC233" s="108">
        <f t="shared" si="30"/>
        <v>2018306.81</v>
      </c>
    </row>
    <row r="234" spans="1:29" x14ac:dyDescent="0.2">
      <c r="A234" s="124" t="s">
        <v>609</v>
      </c>
      <c r="B234" s="99">
        <f t="shared" si="24"/>
        <v>4.1042483871044852E-3</v>
      </c>
      <c r="C234" t="s">
        <v>228</v>
      </c>
      <c r="D234" s="99">
        <f t="shared" si="25"/>
        <v>3.1570841889117046E-2</v>
      </c>
      <c r="E234" s="123">
        <v>97375317</v>
      </c>
      <c r="F234" s="219">
        <v>46483</v>
      </c>
      <c r="G234" s="93">
        <v>48200</v>
      </c>
      <c r="H234" s="93">
        <v>3896</v>
      </c>
      <c r="I234" s="93">
        <v>8090</v>
      </c>
      <c r="J234" s="93">
        <v>3650</v>
      </c>
      <c r="K234" s="108">
        <f>(F234*138.66)*SUM(1,Macrogegevens!$C$4,0.5*Macrogegevens!$C$6,Macrogegevens!$C$8)</f>
        <v>6578751.1685460014</v>
      </c>
      <c r="L234" s="108">
        <f t="shared" si="31"/>
        <v>1183505.2000000002</v>
      </c>
      <c r="M234" s="108">
        <v>11891916.846038433</v>
      </c>
      <c r="N234" s="108">
        <v>6675988.6540234555</v>
      </c>
      <c r="O234" s="108">
        <v>0</v>
      </c>
      <c r="P234" s="108">
        <f t="shared" si="26"/>
        <v>18567905.500061888</v>
      </c>
      <c r="Q234" s="108">
        <v>100568287</v>
      </c>
      <c r="R234" s="155">
        <v>28.249077891082663</v>
      </c>
      <c r="S234" s="122">
        <v>0.15260000000000001</v>
      </c>
      <c r="T234" s="122">
        <v>0.1714</v>
      </c>
      <c r="U234" s="122">
        <v>0.13569999999999999</v>
      </c>
      <c r="V234" s="122" t="s">
        <v>609</v>
      </c>
      <c r="W234" s="108">
        <v>2526400000</v>
      </c>
      <c r="X234" s="108">
        <v>910000000</v>
      </c>
      <c r="Y234" s="108">
        <v>1033199999.9999999</v>
      </c>
      <c r="Z234" s="108">
        <f t="shared" si="27"/>
        <v>3855286.4000000004</v>
      </c>
      <c r="AA234" s="108">
        <f t="shared" si="28"/>
        <v>2961792.3999999994</v>
      </c>
      <c r="AB234" s="108">
        <f t="shared" si="29"/>
        <v>8000584</v>
      </c>
      <c r="AC234" s="108">
        <f t="shared" si="30"/>
        <v>1183505.2000000002</v>
      </c>
    </row>
    <row r="235" spans="1:29" x14ac:dyDescent="0.2">
      <c r="A235" s="124" t="s">
        <v>468</v>
      </c>
      <c r="B235" s="99">
        <f t="shared" si="24"/>
        <v>5.6195621514895091E-3</v>
      </c>
      <c r="C235" t="s">
        <v>228</v>
      </c>
      <c r="D235" s="99">
        <f t="shared" si="25"/>
        <v>3.2258064516129031E-2</v>
      </c>
      <c r="E235" s="123">
        <v>84298505</v>
      </c>
      <c r="F235" s="219">
        <v>25605</v>
      </c>
      <c r="G235" s="93">
        <v>26900</v>
      </c>
      <c r="H235" s="93">
        <v>2015</v>
      </c>
      <c r="I235" s="93">
        <v>4880</v>
      </c>
      <c r="J235" s="93">
        <v>1885</v>
      </c>
      <c r="K235" s="108">
        <f>(F235*138.66)*SUM(1,Macrogegevens!$C$4,0.5*Macrogegevens!$C$6,Macrogegevens!$C$8)</f>
        <v>3623882.3585100002</v>
      </c>
      <c r="L235" s="108">
        <f t="shared" si="31"/>
        <v>2619151.4500000002</v>
      </c>
      <c r="M235" s="108">
        <v>3610453.3441008264</v>
      </c>
      <c r="N235" s="108">
        <v>3068719.5024280362</v>
      </c>
      <c r="O235" s="108">
        <v>0</v>
      </c>
      <c r="P235" s="108">
        <f t="shared" si="26"/>
        <v>6679172.8465288626</v>
      </c>
      <c r="Q235" s="108">
        <v>71630097</v>
      </c>
      <c r="R235" s="155">
        <v>628.56693037351909</v>
      </c>
      <c r="S235" s="122">
        <v>0.1176</v>
      </c>
      <c r="T235" s="122">
        <v>0.1391</v>
      </c>
      <c r="U235" s="122">
        <v>0.1075</v>
      </c>
      <c r="V235" s="122" t="s">
        <v>468</v>
      </c>
      <c r="W235" s="108">
        <v>3266400000</v>
      </c>
      <c r="X235" s="108">
        <v>529899999.99999994</v>
      </c>
      <c r="Y235" s="108">
        <v>562450000</v>
      </c>
      <c r="Z235" s="108">
        <f t="shared" si="27"/>
        <v>3841286.4</v>
      </c>
      <c r="AA235" s="108">
        <f t="shared" si="28"/>
        <v>1341724.6499999999</v>
      </c>
      <c r="AB235" s="108">
        <f t="shared" si="29"/>
        <v>7802162.5</v>
      </c>
      <c r="AC235" s="108">
        <f t="shared" si="30"/>
        <v>2619151.4500000002</v>
      </c>
    </row>
    <row r="236" spans="1:29" x14ac:dyDescent="0.2">
      <c r="A236" s="124" t="s">
        <v>469</v>
      </c>
      <c r="B236" s="99">
        <f t="shared" si="24"/>
        <v>-2.4500643660977533E-3</v>
      </c>
      <c r="C236" t="s">
        <v>689</v>
      </c>
      <c r="D236" s="99">
        <f t="shared" si="25"/>
        <v>2.9602595296025953E-2</v>
      </c>
      <c r="E236" s="123">
        <v>37764000</v>
      </c>
      <c r="F236" s="219">
        <v>16054</v>
      </c>
      <c r="G236" s="93">
        <v>15700</v>
      </c>
      <c r="H236" s="93">
        <v>1233</v>
      </c>
      <c r="I236" s="93">
        <v>2870</v>
      </c>
      <c r="J236" s="93">
        <v>1160</v>
      </c>
      <c r="K236" s="108">
        <f>(F236*138.66)*SUM(1,Macrogegevens!$C$4,0.5*Macrogegevens!$C$6,Macrogegevens!$C$8)</f>
        <v>2272126.8261480005</v>
      </c>
      <c r="L236" s="108">
        <f t="shared" si="31"/>
        <v>1613778.3</v>
      </c>
      <c r="M236" s="108">
        <v>3093644.6767791626</v>
      </c>
      <c r="N236" s="108">
        <v>1881727.6170121045</v>
      </c>
      <c r="O236" s="108">
        <v>0</v>
      </c>
      <c r="P236" s="108">
        <f t="shared" si="26"/>
        <v>4975372.2937912671</v>
      </c>
      <c r="Q236" s="108">
        <v>38208000</v>
      </c>
      <c r="R236" s="155">
        <v>1944.9051751848281</v>
      </c>
      <c r="S236" s="122">
        <v>8.2000000000000003E-2</v>
      </c>
      <c r="T236" s="122">
        <v>0.156</v>
      </c>
      <c r="U236" s="122">
        <v>0.12520000000000001</v>
      </c>
      <c r="V236" s="122" t="s">
        <v>469</v>
      </c>
      <c r="W236" s="108">
        <v>1431600000</v>
      </c>
      <c r="X236" s="108">
        <v>282100000</v>
      </c>
      <c r="Y236" s="108">
        <v>297850000</v>
      </c>
      <c r="Z236" s="108">
        <f t="shared" si="27"/>
        <v>1173912</v>
      </c>
      <c r="AA236" s="108">
        <f t="shared" si="28"/>
        <v>812984.2</v>
      </c>
      <c r="AB236" s="108">
        <f t="shared" si="29"/>
        <v>3600674.5</v>
      </c>
      <c r="AC236" s="108">
        <f t="shared" si="30"/>
        <v>1613778.3</v>
      </c>
    </row>
    <row r="237" spans="1:29" x14ac:dyDescent="0.2">
      <c r="A237" s="124" t="s">
        <v>613</v>
      </c>
      <c r="B237" s="99">
        <f t="shared" si="24"/>
        <v>8.7593894464832248E-3</v>
      </c>
      <c r="C237" t="s">
        <v>689</v>
      </c>
      <c r="D237" s="99">
        <f t="shared" si="25"/>
        <v>3.125E-2</v>
      </c>
      <c r="E237" s="123">
        <v>52473000</v>
      </c>
      <c r="F237" s="219">
        <v>22617</v>
      </c>
      <c r="G237" s="93">
        <v>24400</v>
      </c>
      <c r="H237" s="93">
        <v>1744</v>
      </c>
      <c r="I237" s="93">
        <v>4265</v>
      </c>
      <c r="J237" s="93">
        <v>1635</v>
      </c>
      <c r="K237" s="108">
        <f>(F237*138.66)*SUM(1,Macrogegevens!$C$4,0.5*Macrogegevens!$C$6,Macrogegevens!$C$8)</f>
        <v>3200989.9356540004</v>
      </c>
      <c r="L237" s="108">
        <f t="shared" si="31"/>
        <v>183415.64000000036</v>
      </c>
      <c r="M237" s="108">
        <v>3480714.3643580694</v>
      </c>
      <c r="N237" s="108">
        <v>2153081.2172481092</v>
      </c>
      <c r="O237" s="108">
        <v>0</v>
      </c>
      <c r="P237" s="108">
        <f t="shared" si="26"/>
        <v>5633795.5816061785</v>
      </c>
      <c r="Q237" s="108">
        <v>47903000</v>
      </c>
      <c r="R237" s="155">
        <v>2639.7605006077524</v>
      </c>
      <c r="S237" s="122">
        <v>0.16438</v>
      </c>
      <c r="T237" s="122">
        <v>0.23527999999999999</v>
      </c>
      <c r="U237" s="122">
        <v>0.18897</v>
      </c>
      <c r="V237" s="122" t="s">
        <v>638</v>
      </c>
      <c r="W237" s="108">
        <v>2346800000</v>
      </c>
      <c r="X237" s="108">
        <v>238349999.99999997</v>
      </c>
      <c r="Y237" s="108">
        <v>256199999.99999997</v>
      </c>
      <c r="Z237" s="108">
        <f t="shared" si="27"/>
        <v>3857669.84</v>
      </c>
      <c r="AA237" s="108">
        <f t="shared" si="28"/>
        <v>1044931.0199999998</v>
      </c>
      <c r="AB237" s="108">
        <f t="shared" si="29"/>
        <v>5086016.5</v>
      </c>
      <c r="AC237" s="108">
        <f t="shared" si="30"/>
        <v>183415.64000000036</v>
      </c>
    </row>
    <row r="238" spans="1:29" x14ac:dyDescent="0.2">
      <c r="A238" s="124" t="s">
        <v>332</v>
      </c>
      <c r="B238" s="99">
        <f t="shared" si="24"/>
        <v>-6.7833807172427551E-3</v>
      </c>
      <c r="C238" t="s">
        <v>228</v>
      </c>
      <c r="D238" s="99">
        <f t="shared" si="25"/>
        <v>5.2390640895218721E-2</v>
      </c>
      <c r="E238" s="123">
        <v>48270660</v>
      </c>
      <c r="F238" s="219">
        <v>26732</v>
      </c>
      <c r="G238" s="93">
        <v>25100</v>
      </c>
      <c r="H238" s="93">
        <v>1966</v>
      </c>
      <c r="I238" s="93">
        <v>4490</v>
      </c>
      <c r="J238" s="93">
        <v>1760</v>
      </c>
      <c r="K238" s="108">
        <f>(F238*138.66)*SUM(1,Macrogegevens!$C$4,0.5*Macrogegevens!$C$6,Macrogegevens!$C$8)</f>
        <v>3783386.9637840008</v>
      </c>
      <c r="L238" s="108">
        <f t="shared" si="31"/>
        <v>2373768.5</v>
      </c>
      <c r="M238" s="108">
        <v>5716472.4493846344</v>
      </c>
      <c r="N238" s="108">
        <v>3499405.8808520059</v>
      </c>
      <c r="O238" s="108">
        <v>0</v>
      </c>
      <c r="P238" s="108">
        <f t="shared" si="26"/>
        <v>9215878.3302366398</v>
      </c>
      <c r="Q238" s="108">
        <v>50999696</v>
      </c>
      <c r="R238" s="155">
        <v>1168.3253516911104</v>
      </c>
      <c r="S238" s="122">
        <v>8.3000000000000004E-2</v>
      </c>
      <c r="T238" s="122">
        <v>0.15</v>
      </c>
      <c r="U238" s="122">
        <v>0.12</v>
      </c>
      <c r="V238" s="122" t="s">
        <v>332</v>
      </c>
      <c r="W238" s="108">
        <v>2135600000</v>
      </c>
      <c r="X238" s="108">
        <v>349650000</v>
      </c>
      <c r="Y238" s="108">
        <v>376600000</v>
      </c>
      <c r="Z238" s="108">
        <f t="shared" si="27"/>
        <v>1772548</v>
      </c>
      <c r="AA238" s="108">
        <f t="shared" si="28"/>
        <v>976395</v>
      </c>
      <c r="AB238" s="108">
        <f t="shared" si="29"/>
        <v>5122711.5</v>
      </c>
      <c r="AC238" s="108">
        <f t="shared" si="30"/>
        <v>2373768.5</v>
      </c>
    </row>
    <row r="239" spans="1:29" s="101" customFormat="1" x14ac:dyDescent="0.2">
      <c r="A239" s="125" t="s">
        <v>591</v>
      </c>
      <c r="B239" s="99">
        <f t="shared" si="24"/>
        <v>-6.3840470554479591E-3</v>
      </c>
      <c r="C239" t="s">
        <v>689</v>
      </c>
      <c r="D239" s="99">
        <f t="shared" si="25"/>
        <v>4.7373358348968102E-2</v>
      </c>
      <c r="E239" s="123">
        <v>29373778</v>
      </c>
      <c r="F239" s="219">
        <v>15490</v>
      </c>
      <c r="G239" s="93">
        <v>14600</v>
      </c>
      <c r="H239" s="93">
        <v>1066</v>
      </c>
      <c r="I239" s="93">
        <v>2225</v>
      </c>
      <c r="J239" s="93">
        <v>965</v>
      </c>
      <c r="K239" s="108">
        <f>(F239*138.66)*SUM(1,Macrogegevens!$C$4,0.5*Macrogegevens!$C$6,Macrogegevens!$C$8)</f>
        <v>2192303.7583800005</v>
      </c>
      <c r="L239" s="108">
        <f t="shared" si="31"/>
        <v>169944.60000000021</v>
      </c>
      <c r="M239" s="108">
        <v>2353265.1083266661</v>
      </c>
      <c r="N239" s="108">
        <v>2975337.0218024314</v>
      </c>
      <c r="O239" s="117">
        <v>0</v>
      </c>
      <c r="P239" s="108">
        <f t="shared" si="26"/>
        <v>5328602.130129097</v>
      </c>
      <c r="Q239" s="108">
        <v>31105203</v>
      </c>
      <c r="R239" s="155">
        <v>178.08131741877833</v>
      </c>
      <c r="S239" s="122">
        <v>0.14779999999999999</v>
      </c>
      <c r="T239" s="122">
        <v>0.26519999999999999</v>
      </c>
      <c r="U239" s="122">
        <v>0.218</v>
      </c>
      <c r="V239" s="122" t="s">
        <v>591</v>
      </c>
      <c r="W239" s="108">
        <v>1075200000</v>
      </c>
      <c r="X239" s="108">
        <v>129149999.99999999</v>
      </c>
      <c r="Y239" s="108">
        <v>138950000</v>
      </c>
      <c r="Z239" s="108">
        <f t="shared" si="27"/>
        <v>1589145.5999999999</v>
      </c>
      <c r="AA239" s="108">
        <f t="shared" si="28"/>
        <v>645416.79999999993</v>
      </c>
      <c r="AB239" s="108">
        <f t="shared" si="29"/>
        <v>2404507</v>
      </c>
      <c r="AC239" s="108">
        <f t="shared" si="30"/>
        <v>169944.60000000021</v>
      </c>
    </row>
    <row r="240" spans="1:29" x14ac:dyDescent="0.2">
      <c r="A240" s="124" t="s">
        <v>470</v>
      </c>
      <c r="B240" s="99">
        <f t="shared" si="24"/>
        <v>-4.8307078436203254E-6</v>
      </c>
      <c r="C240" t="s">
        <v>689</v>
      </c>
      <c r="D240" s="99">
        <f t="shared" si="25"/>
        <v>4.5454545454545456E-2</v>
      </c>
      <c r="E240" s="123">
        <v>49596000</v>
      </c>
      <c r="F240" s="219">
        <v>23001</v>
      </c>
      <c r="G240" s="93">
        <v>23000</v>
      </c>
      <c r="H240" s="93">
        <v>1309</v>
      </c>
      <c r="I240" s="93">
        <v>3065</v>
      </c>
      <c r="J240" s="93">
        <v>1190</v>
      </c>
      <c r="K240" s="108">
        <f>(F240*138.66)*SUM(1,Macrogegevens!$C$4,0.5*Macrogegevens!$C$6,Macrogegevens!$C$8)</f>
        <v>3255337.5562620005</v>
      </c>
      <c r="L240" s="108">
        <f t="shared" si="31"/>
        <v>2065794</v>
      </c>
      <c r="M240" s="108">
        <v>4426957.0834779404</v>
      </c>
      <c r="N240" s="108">
        <v>2084172.1988603531</v>
      </c>
      <c r="O240" s="108">
        <v>0</v>
      </c>
      <c r="P240" s="108">
        <f t="shared" si="26"/>
        <v>6511129.2823382933</v>
      </c>
      <c r="Q240" s="108">
        <v>48272000</v>
      </c>
      <c r="R240" s="155">
        <v>4215.5153338938799</v>
      </c>
      <c r="S240" s="122">
        <v>0.1003</v>
      </c>
      <c r="T240" s="122">
        <v>0.19320000000000001</v>
      </c>
      <c r="U240" s="122">
        <v>0.15820000000000001</v>
      </c>
      <c r="V240" s="122" t="s">
        <v>470</v>
      </c>
      <c r="W240" s="108">
        <v>2600800000</v>
      </c>
      <c r="X240" s="108">
        <v>273000000</v>
      </c>
      <c r="Y240" s="108">
        <v>277550000</v>
      </c>
      <c r="Z240" s="108">
        <f t="shared" si="27"/>
        <v>2608602.4</v>
      </c>
      <c r="AA240" s="108">
        <f t="shared" si="28"/>
        <v>966520.10000000009</v>
      </c>
      <c r="AB240" s="108">
        <f t="shared" si="29"/>
        <v>5640916.5</v>
      </c>
      <c r="AC240" s="108">
        <f t="shared" si="30"/>
        <v>2065794</v>
      </c>
    </row>
    <row r="241" spans="1:29" x14ac:dyDescent="0.2">
      <c r="A241" s="124" t="s">
        <v>548</v>
      </c>
      <c r="B241" s="99">
        <f t="shared" si="24"/>
        <v>-2.9857348225146522E-3</v>
      </c>
      <c r="C241" t="s">
        <v>689</v>
      </c>
      <c r="D241" s="99">
        <f t="shared" si="25"/>
        <v>4.5159194282001297E-2</v>
      </c>
      <c r="E241" s="123">
        <v>37940331</v>
      </c>
      <c r="F241" s="219">
        <v>18086</v>
      </c>
      <c r="G241" s="93">
        <v>17600</v>
      </c>
      <c r="H241" s="93">
        <v>1539</v>
      </c>
      <c r="I241" s="93">
        <v>3485</v>
      </c>
      <c r="J241" s="93">
        <v>1400</v>
      </c>
      <c r="K241" s="108">
        <f>(F241*138.66)*SUM(1,Macrogegevens!$C$4,0.5*Macrogegevens!$C$6,Macrogegevens!$C$8)</f>
        <v>2559716.3185320003</v>
      </c>
      <c r="L241" s="108">
        <f t="shared" si="31"/>
        <v>1464278.15</v>
      </c>
      <c r="M241" s="108">
        <v>2068851.3315992516</v>
      </c>
      <c r="N241" s="108">
        <v>1678746.0633843103</v>
      </c>
      <c r="O241" s="108">
        <v>0</v>
      </c>
      <c r="P241" s="108">
        <f t="shared" si="26"/>
        <v>3747597.3949835617</v>
      </c>
      <c r="Q241" s="108">
        <v>43457036</v>
      </c>
      <c r="R241" s="155">
        <v>4066.2535211267605</v>
      </c>
      <c r="S241" s="122">
        <v>0.1033</v>
      </c>
      <c r="T241" s="122">
        <v>0.1799</v>
      </c>
      <c r="U241" s="122">
        <v>0.14460000000000001</v>
      </c>
      <c r="V241" s="122" t="s">
        <v>548</v>
      </c>
      <c r="W241" s="108">
        <v>1716000000</v>
      </c>
      <c r="X241" s="108">
        <v>446250000</v>
      </c>
      <c r="Y241" s="108">
        <v>492099999.99999994</v>
      </c>
      <c r="Z241" s="108">
        <f t="shared" si="27"/>
        <v>1772628</v>
      </c>
      <c r="AA241" s="108">
        <f t="shared" si="28"/>
        <v>1514380.35</v>
      </c>
      <c r="AB241" s="108">
        <f t="shared" si="29"/>
        <v>4751286.5</v>
      </c>
      <c r="AC241" s="108">
        <f t="shared" si="30"/>
        <v>1464278.15</v>
      </c>
    </row>
    <row r="242" spans="1:29" x14ac:dyDescent="0.2">
      <c r="A242" s="124" t="s">
        <v>549</v>
      </c>
      <c r="B242" s="99">
        <f t="shared" si="24"/>
        <v>3.7346458562701034E-3</v>
      </c>
      <c r="C242" t="s">
        <v>689</v>
      </c>
      <c r="D242" s="99">
        <f t="shared" si="25"/>
        <v>3.1890660592255128E-2</v>
      </c>
      <c r="E242" s="123">
        <v>55034348</v>
      </c>
      <c r="F242" s="219">
        <v>25735</v>
      </c>
      <c r="G242" s="93">
        <v>26600</v>
      </c>
      <c r="H242" s="93">
        <v>2195</v>
      </c>
      <c r="I242" s="93">
        <v>5620</v>
      </c>
      <c r="J242" s="93">
        <v>2055</v>
      </c>
      <c r="K242" s="108">
        <f>(F242*138.66)*SUM(1,Macrogegevens!$C$4,0.5*Macrogegevens!$C$6,Macrogegevens!$C$8)</f>
        <v>3642281.2925700005</v>
      </c>
      <c r="L242" s="108">
        <f t="shared" si="31"/>
        <v>2183321.8000000003</v>
      </c>
      <c r="M242" s="108">
        <v>5915576.161777433</v>
      </c>
      <c r="N242" s="108">
        <v>3096012.6846771454</v>
      </c>
      <c r="O242" s="108">
        <v>0</v>
      </c>
      <c r="P242" s="108">
        <f t="shared" si="26"/>
        <v>9011588.8464545794</v>
      </c>
      <c r="Q242" s="108">
        <v>58849121</v>
      </c>
      <c r="R242" s="155">
        <v>1778.6812250745345</v>
      </c>
      <c r="S242" s="122">
        <v>0.1108</v>
      </c>
      <c r="T242" s="122">
        <v>0.1552</v>
      </c>
      <c r="U242" s="122">
        <v>0.13539999999999999</v>
      </c>
      <c r="V242" s="122" t="s">
        <v>549</v>
      </c>
      <c r="W242" s="108">
        <v>2764800000</v>
      </c>
      <c r="X242" s="108">
        <v>412300000</v>
      </c>
      <c r="Y242" s="108">
        <v>457800000</v>
      </c>
      <c r="Z242" s="108">
        <f t="shared" si="27"/>
        <v>3063398.3999999999</v>
      </c>
      <c r="AA242" s="108">
        <f t="shared" si="28"/>
        <v>1259750.7999999998</v>
      </c>
      <c r="AB242" s="108">
        <f t="shared" si="29"/>
        <v>6506471</v>
      </c>
      <c r="AC242" s="108">
        <f t="shared" si="30"/>
        <v>2183321.8000000003</v>
      </c>
    </row>
    <row r="243" spans="1:29" x14ac:dyDescent="0.2">
      <c r="A243" s="124" t="s">
        <v>243</v>
      </c>
      <c r="B243" s="99">
        <f t="shared" si="24"/>
        <v>-6.3624269766903807E-4</v>
      </c>
      <c r="C243" t="s">
        <v>621</v>
      </c>
      <c r="D243" s="99">
        <f t="shared" si="25"/>
        <v>2.0369493131217432E-2</v>
      </c>
      <c r="E243" s="123">
        <v>125884000</v>
      </c>
      <c r="F243" s="219">
        <v>38420</v>
      </c>
      <c r="G243" s="93">
        <v>38200</v>
      </c>
      <c r="H243" s="93">
        <v>2111</v>
      </c>
      <c r="I243" s="93">
        <v>4990</v>
      </c>
      <c r="J243" s="93">
        <v>2025</v>
      </c>
      <c r="K243" s="108">
        <f>(F243*138.66)*SUM(1,Macrogegevens!$C$4,0.5*Macrogegevens!$C$6,Macrogegevens!$C$8)</f>
        <v>5437592.6660400014</v>
      </c>
      <c r="L243" s="108">
        <f t="shared" si="31"/>
        <v>0</v>
      </c>
      <c r="M243" s="108">
        <v>12365583.948827256</v>
      </c>
      <c r="N243" s="108">
        <v>7149439.0459508635</v>
      </c>
      <c r="O243" s="108">
        <v>0</v>
      </c>
      <c r="P243" s="108">
        <f t="shared" si="26"/>
        <v>19515022.994778119</v>
      </c>
      <c r="Q243" s="108">
        <v>120851000</v>
      </c>
      <c r="R243" s="155">
        <v>1639.2013142929356</v>
      </c>
      <c r="S243" s="122">
        <v>0.22489999999999999</v>
      </c>
      <c r="T243" s="122">
        <v>0.39350000000000002</v>
      </c>
      <c r="U243" s="122">
        <v>0.30520000000000003</v>
      </c>
      <c r="V243" s="122" t="s">
        <v>243</v>
      </c>
      <c r="W243" s="108">
        <v>1892400000</v>
      </c>
      <c r="X243" s="108">
        <v>532699999.99999994</v>
      </c>
      <c r="Y243" s="108">
        <v>567000000</v>
      </c>
      <c r="Z243" s="108">
        <f t="shared" si="27"/>
        <v>4256007.5999999996</v>
      </c>
      <c r="AA243" s="108">
        <f t="shared" si="28"/>
        <v>3826658.5</v>
      </c>
      <c r="AB243" s="108">
        <f t="shared" si="29"/>
        <v>5355859</v>
      </c>
      <c r="AC243" s="108">
        <f t="shared" si="30"/>
        <v>-2726807.0999999996</v>
      </c>
    </row>
    <row r="244" spans="1:29" x14ac:dyDescent="0.2">
      <c r="A244" s="124" t="s">
        <v>333</v>
      </c>
      <c r="B244" s="99">
        <f t="shared" si="24"/>
        <v>-4.3756701150424529E-3</v>
      </c>
      <c r="C244" t="s">
        <v>689</v>
      </c>
      <c r="D244" s="99">
        <f t="shared" si="25"/>
        <v>8.6532782043709386E-2</v>
      </c>
      <c r="E244" s="123">
        <v>54505000</v>
      </c>
      <c r="F244" s="219">
        <v>23006</v>
      </c>
      <c r="G244" s="93">
        <v>22100</v>
      </c>
      <c r="H244" s="93">
        <v>1693</v>
      </c>
      <c r="I244" s="93">
        <v>3440</v>
      </c>
      <c r="J244" s="93">
        <v>1400</v>
      </c>
      <c r="K244" s="108">
        <f>(F244*138.66)*SUM(1,Macrogegevens!$C$4,0.5*Macrogegevens!$C$6,Macrogegevens!$C$8)</f>
        <v>3256045.2075720006</v>
      </c>
      <c r="L244" s="108">
        <f t="shared" si="31"/>
        <v>838013.60000000009</v>
      </c>
      <c r="M244" s="108">
        <v>5151703.7436339557</v>
      </c>
      <c r="N244" s="108">
        <v>3782230.7989625963</v>
      </c>
      <c r="O244" s="108">
        <v>0</v>
      </c>
      <c r="P244" s="108">
        <f t="shared" si="26"/>
        <v>8933934.5425965525</v>
      </c>
      <c r="Q244" s="108">
        <v>46245000</v>
      </c>
      <c r="R244" s="155">
        <v>43.208791208791212</v>
      </c>
      <c r="S244" s="122">
        <v>0.1235</v>
      </c>
      <c r="T244" s="122">
        <v>0.21840000000000001</v>
      </c>
      <c r="U244" s="122">
        <v>0.16880000000000001</v>
      </c>
      <c r="V244" s="122" t="s">
        <v>333</v>
      </c>
      <c r="W244" s="108">
        <v>1669600000</v>
      </c>
      <c r="X244" s="108">
        <v>315700000</v>
      </c>
      <c r="Y244" s="108">
        <v>350700000</v>
      </c>
      <c r="Z244" s="108">
        <f t="shared" si="27"/>
        <v>2061956</v>
      </c>
      <c r="AA244" s="108">
        <f t="shared" si="28"/>
        <v>1281470.3999999999</v>
      </c>
      <c r="AB244" s="108">
        <f t="shared" si="29"/>
        <v>4181440</v>
      </c>
      <c r="AC244" s="108">
        <f t="shared" si="30"/>
        <v>838013.60000000009</v>
      </c>
    </row>
    <row r="245" spans="1:29" x14ac:dyDescent="0.2">
      <c r="A245" s="124" t="s">
        <v>286</v>
      </c>
      <c r="B245" s="99">
        <f t="shared" si="24"/>
        <v>5.4692445800512673E-3</v>
      </c>
      <c r="C245" t="s">
        <v>228</v>
      </c>
      <c r="D245" s="99">
        <f t="shared" si="25"/>
        <v>2.6889903602232368E-2</v>
      </c>
      <c r="E245" s="123">
        <v>82169000</v>
      </c>
      <c r="F245" s="219">
        <v>32119</v>
      </c>
      <c r="G245" s="93">
        <v>33700</v>
      </c>
      <c r="H245" s="93">
        <v>1971</v>
      </c>
      <c r="I245" s="93">
        <v>4970</v>
      </c>
      <c r="J245" s="93">
        <v>1865</v>
      </c>
      <c r="K245" s="108">
        <f>(F245*138.66)*SUM(1,Macrogegevens!$C$4,0.5*Macrogegevens!$C$6,Macrogegevens!$C$8)</f>
        <v>4545810.4851780012</v>
      </c>
      <c r="L245" s="108">
        <f t="shared" si="31"/>
        <v>1065960.17</v>
      </c>
      <c r="M245" s="108">
        <v>7113318.5847618962</v>
      </c>
      <c r="N245" s="108">
        <v>5918699.793824018</v>
      </c>
      <c r="O245" s="108">
        <v>0</v>
      </c>
      <c r="P245" s="108">
        <f t="shared" si="26"/>
        <v>13032018.378585914</v>
      </c>
      <c r="Q245" s="108">
        <v>89730000</v>
      </c>
      <c r="R245" s="155">
        <v>1479.2956777381623</v>
      </c>
      <c r="S245" s="122">
        <v>0.11776</v>
      </c>
      <c r="T245" s="122">
        <v>0.22803000000000001</v>
      </c>
      <c r="U245" s="122">
        <v>0.18212</v>
      </c>
      <c r="V245" s="122" t="s">
        <v>286</v>
      </c>
      <c r="W245" s="108">
        <v>2232000000</v>
      </c>
      <c r="X245" s="108">
        <v>576100000</v>
      </c>
      <c r="Y245" s="108">
        <v>591500000</v>
      </c>
      <c r="Z245" s="108">
        <f t="shared" si="27"/>
        <v>2628403.2000000002</v>
      </c>
      <c r="AA245" s="108">
        <f t="shared" si="28"/>
        <v>2390920.63</v>
      </c>
      <c r="AB245" s="108">
        <f t="shared" si="29"/>
        <v>6085284</v>
      </c>
      <c r="AC245" s="108">
        <f t="shared" si="30"/>
        <v>1065960.17</v>
      </c>
    </row>
    <row r="246" spans="1:29" x14ac:dyDescent="0.2">
      <c r="A246" s="124" t="s">
        <v>287</v>
      </c>
      <c r="B246" s="99">
        <f t="shared" si="24"/>
        <v>-1.5169921814160671E-2</v>
      </c>
      <c r="C246" t="s">
        <v>689</v>
      </c>
      <c r="D246" s="99">
        <f t="shared" si="25"/>
        <v>0.11687306501547988</v>
      </c>
      <c r="E246" s="123">
        <v>33761443</v>
      </c>
      <c r="F246" s="219">
        <v>17835</v>
      </c>
      <c r="G246" s="93">
        <v>15400</v>
      </c>
      <c r="H246" s="93">
        <v>1292</v>
      </c>
      <c r="I246" s="93">
        <v>2275</v>
      </c>
      <c r="J246" s="93">
        <v>990</v>
      </c>
      <c r="K246" s="108">
        <f>(F246*138.66)*SUM(1,Macrogegevens!$C$4,0.5*Macrogegevens!$C$6,Macrogegevens!$C$8)</f>
        <v>2524192.2227700003</v>
      </c>
      <c r="L246" s="108">
        <f t="shared" si="31"/>
        <v>172438.60000000009</v>
      </c>
      <c r="M246" s="108">
        <v>4203972.1982595837</v>
      </c>
      <c r="N246" s="108">
        <v>2182473.6685387478</v>
      </c>
      <c r="O246" s="108">
        <v>0</v>
      </c>
      <c r="P246" s="108">
        <f t="shared" si="26"/>
        <v>6386445.866798332</v>
      </c>
      <c r="Q246" s="108">
        <v>36771970</v>
      </c>
      <c r="R246" s="155">
        <v>1720.2964652223488</v>
      </c>
      <c r="S246" s="122">
        <v>0.15720000000000001</v>
      </c>
      <c r="T246" s="122">
        <v>0.2296</v>
      </c>
      <c r="U246" s="122">
        <v>0.1802</v>
      </c>
      <c r="V246" s="122" t="s">
        <v>287</v>
      </c>
      <c r="W246" s="108">
        <v>1248000000</v>
      </c>
      <c r="X246" s="108">
        <v>191800000</v>
      </c>
      <c r="Y246" s="108">
        <v>214550000</v>
      </c>
      <c r="Z246" s="108">
        <f t="shared" si="27"/>
        <v>1961856</v>
      </c>
      <c r="AA246" s="108">
        <f t="shared" si="28"/>
        <v>826991.89999999991</v>
      </c>
      <c r="AB246" s="108">
        <f t="shared" si="29"/>
        <v>2961286.5</v>
      </c>
      <c r="AC246" s="108">
        <f t="shared" si="30"/>
        <v>172438.60000000009</v>
      </c>
    </row>
    <row r="247" spans="1:29" x14ac:dyDescent="0.2">
      <c r="A247" s="124" t="s">
        <v>288</v>
      </c>
      <c r="B247" s="99">
        <f t="shared" si="24"/>
        <v>-6.6400041019330364E-3</v>
      </c>
      <c r="C247" t="s">
        <v>228</v>
      </c>
      <c r="D247" s="99">
        <f t="shared" si="25"/>
        <v>7.1129707112970716E-2</v>
      </c>
      <c r="E247" s="123">
        <v>59523000</v>
      </c>
      <c r="F247" s="219">
        <v>17336</v>
      </c>
      <c r="G247" s="93">
        <v>16300</v>
      </c>
      <c r="H247" s="93">
        <v>1434</v>
      </c>
      <c r="I247" s="93">
        <v>2830</v>
      </c>
      <c r="J247" s="93">
        <v>1230</v>
      </c>
      <c r="K247" s="108">
        <f>(F247*138.66)*SUM(1,Macrogegevens!$C$4,0.5*Macrogegevens!$C$6,Macrogegevens!$C$8)</f>
        <v>2453568.6220320002</v>
      </c>
      <c r="L247" s="108">
        <f t="shared" si="31"/>
        <v>1742841.7</v>
      </c>
      <c r="M247" s="108">
        <v>4465149.1183536081</v>
      </c>
      <c r="N247" s="108">
        <v>2398612.3445093115</v>
      </c>
      <c r="O247" s="108">
        <v>0</v>
      </c>
      <c r="P247" s="108">
        <f t="shared" si="26"/>
        <v>6863761.46286292</v>
      </c>
      <c r="Q247" s="108">
        <v>62230000</v>
      </c>
      <c r="R247" s="155">
        <v>1207.5384968972651</v>
      </c>
      <c r="S247" s="122">
        <v>9.1700000000000004E-2</v>
      </c>
      <c r="T247" s="122">
        <v>0.1273</v>
      </c>
      <c r="U247" s="122">
        <v>9.2899999999999996E-2</v>
      </c>
      <c r="V247" s="122" t="s">
        <v>288</v>
      </c>
      <c r="W247" s="108">
        <v>1392000000</v>
      </c>
      <c r="X247" s="108">
        <v>356650000</v>
      </c>
      <c r="Y247" s="108">
        <v>398650000</v>
      </c>
      <c r="Z247" s="108">
        <f t="shared" si="27"/>
        <v>1276464</v>
      </c>
      <c r="AA247" s="108">
        <f t="shared" si="28"/>
        <v>824361.3</v>
      </c>
      <c r="AB247" s="108">
        <f t="shared" si="29"/>
        <v>3843667</v>
      </c>
      <c r="AC247" s="108">
        <f t="shared" si="30"/>
        <v>1742841.7</v>
      </c>
    </row>
    <row r="248" spans="1:29" x14ac:dyDescent="0.2">
      <c r="A248" s="124" t="s">
        <v>592</v>
      </c>
      <c r="B248" s="99">
        <f t="shared" si="24"/>
        <v>-1.6482352442693107E-2</v>
      </c>
      <c r="C248" t="s">
        <v>689</v>
      </c>
      <c r="D248" s="99">
        <f t="shared" si="25"/>
        <v>5.6555269922879174E-2</v>
      </c>
      <c r="E248" s="123">
        <v>20032000</v>
      </c>
      <c r="F248" s="219">
        <v>7867</v>
      </c>
      <c r="G248" s="93">
        <v>6700</v>
      </c>
      <c r="H248" s="93">
        <v>389</v>
      </c>
      <c r="I248" s="93">
        <v>825</v>
      </c>
      <c r="J248" s="93">
        <v>345</v>
      </c>
      <c r="K248" s="108">
        <f>(F248*138.66)*SUM(1,Macrogegevens!$C$4,0.5*Macrogegevens!$C$6,Macrogegevens!$C$8)</f>
        <v>1113418.5711540002</v>
      </c>
      <c r="L248" s="108">
        <f t="shared" si="31"/>
        <v>61112.660000000105</v>
      </c>
      <c r="M248" s="108">
        <v>2129603.2083383747</v>
      </c>
      <c r="N248" s="108">
        <v>1716634.7129265694</v>
      </c>
      <c r="O248" s="108">
        <v>0</v>
      </c>
      <c r="P248" s="108">
        <f t="shared" si="26"/>
        <v>3846237.9212649441</v>
      </c>
      <c r="Q248" s="108">
        <v>19518000</v>
      </c>
      <c r="R248" s="155">
        <v>-2412.504624491306</v>
      </c>
      <c r="S248" s="122">
        <v>0.17329</v>
      </c>
      <c r="T248" s="122">
        <v>0.17329</v>
      </c>
      <c r="U248" s="122">
        <v>0.109473</v>
      </c>
      <c r="V248" s="122" t="s">
        <v>592</v>
      </c>
      <c r="W248" s="108">
        <v>478800000</v>
      </c>
      <c r="X248" s="108">
        <v>37450000</v>
      </c>
      <c r="Y248" s="108">
        <v>45500000</v>
      </c>
      <c r="Z248" s="108">
        <f t="shared" si="27"/>
        <v>829712.5199999999</v>
      </c>
      <c r="AA248" s="108">
        <f t="shared" si="28"/>
        <v>114707.31999999999</v>
      </c>
      <c r="AB248" s="108">
        <f t="shared" si="29"/>
        <v>1005532.5</v>
      </c>
      <c r="AC248" s="108">
        <f t="shared" si="30"/>
        <v>61112.660000000105</v>
      </c>
    </row>
    <row r="249" spans="1:29" x14ac:dyDescent="0.2">
      <c r="A249" s="124" t="s">
        <v>334</v>
      </c>
      <c r="B249" s="99">
        <f t="shared" si="24"/>
        <v>-3.1412824708914096E-3</v>
      </c>
      <c r="C249" t="s">
        <v>228</v>
      </c>
      <c r="D249" s="99">
        <f t="shared" si="25"/>
        <v>4.7234459128732253E-2</v>
      </c>
      <c r="E249" s="123">
        <v>58936841</v>
      </c>
      <c r="F249" s="219">
        <v>29535</v>
      </c>
      <c r="G249" s="93">
        <v>28700</v>
      </c>
      <c r="H249" s="93">
        <v>2043</v>
      </c>
      <c r="I249" s="93">
        <v>4545</v>
      </c>
      <c r="J249" s="93">
        <v>1850</v>
      </c>
      <c r="K249" s="108">
        <f>(F249*138.66)*SUM(1,Macrogegevens!$C$4,0.5*Macrogegevens!$C$6,Macrogegevens!$C$8)</f>
        <v>4180096.2881700005</v>
      </c>
      <c r="L249" s="108">
        <f t="shared" si="31"/>
        <v>1373593.5000000002</v>
      </c>
      <c r="M249" s="108">
        <v>7739214.3972197408</v>
      </c>
      <c r="N249" s="108">
        <v>4513942.1505388999</v>
      </c>
      <c r="O249" s="108">
        <v>0</v>
      </c>
      <c r="P249" s="108">
        <f t="shared" si="26"/>
        <v>12253156.547758641</v>
      </c>
      <c r="Q249" s="108">
        <v>58578706</v>
      </c>
      <c r="R249" s="155">
        <v>2407.5467927795912</v>
      </c>
      <c r="S249" s="122">
        <v>0.125</v>
      </c>
      <c r="T249" s="122">
        <v>0.15</v>
      </c>
      <c r="U249" s="122">
        <v>0.14299999999999999</v>
      </c>
      <c r="V249" s="122" t="s">
        <v>334</v>
      </c>
      <c r="W249" s="108">
        <v>1878400000</v>
      </c>
      <c r="X249" s="108">
        <v>519749999.99999994</v>
      </c>
      <c r="Y249" s="108">
        <v>579250000</v>
      </c>
      <c r="Z249" s="108">
        <f t="shared" si="27"/>
        <v>2348000</v>
      </c>
      <c r="AA249" s="108">
        <f t="shared" si="28"/>
        <v>1607952.4999999998</v>
      </c>
      <c r="AB249" s="108">
        <f t="shared" si="29"/>
        <v>5329546</v>
      </c>
      <c r="AC249" s="108">
        <f t="shared" si="30"/>
        <v>1373593.5000000002</v>
      </c>
    </row>
    <row r="250" spans="1:29" x14ac:dyDescent="0.2">
      <c r="A250" s="124" t="s">
        <v>550</v>
      </c>
      <c r="B250" s="99">
        <f t="shared" si="24"/>
        <v>6.2394115945622079E-3</v>
      </c>
      <c r="C250" t="s">
        <v>621</v>
      </c>
      <c r="D250" s="99">
        <f t="shared" si="25"/>
        <v>3.6089415566927012E-2</v>
      </c>
      <c r="E250" s="123">
        <v>133834000</v>
      </c>
      <c r="F250" s="219">
        <v>53780</v>
      </c>
      <c r="G250" s="93">
        <v>56800</v>
      </c>
      <c r="H250" s="93">
        <v>3713</v>
      </c>
      <c r="I250" s="93">
        <v>8900</v>
      </c>
      <c r="J250" s="93">
        <v>3445</v>
      </c>
      <c r="K250" s="108">
        <f>(F250*138.66)*SUM(1,Macrogegevens!$C$4,0.5*Macrogegevens!$C$6,Macrogegevens!$C$8)</f>
        <v>7611497.4903600011</v>
      </c>
      <c r="L250" s="108">
        <f t="shared" si="31"/>
        <v>3154705.6499999994</v>
      </c>
      <c r="M250" s="108">
        <v>13746304.612388</v>
      </c>
      <c r="N250" s="108">
        <v>7168638.8454586212</v>
      </c>
      <c r="O250" s="108">
        <v>0</v>
      </c>
      <c r="P250" s="108">
        <f t="shared" si="26"/>
        <v>20914943.457846619</v>
      </c>
      <c r="Q250" s="108">
        <v>135552000</v>
      </c>
      <c r="R250" s="155">
        <v>819.12221072853549</v>
      </c>
      <c r="S250" s="122">
        <v>0.1169</v>
      </c>
      <c r="T250" s="122">
        <v>0.1731</v>
      </c>
      <c r="U250" s="122">
        <v>0.1384</v>
      </c>
      <c r="V250" s="122" t="s">
        <v>550</v>
      </c>
      <c r="W250" s="108">
        <v>4197600000</v>
      </c>
      <c r="X250" s="108">
        <v>1154650000</v>
      </c>
      <c r="Y250" s="108">
        <v>1181950000</v>
      </c>
      <c r="Z250" s="108">
        <f t="shared" si="27"/>
        <v>4906994.4000000004</v>
      </c>
      <c r="AA250" s="108">
        <f t="shared" si="28"/>
        <v>3634517.95</v>
      </c>
      <c r="AB250" s="108">
        <f t="shared" si="29"/>
        <v>11696218</v>
      </c>
      <c r="AC250" s="108">
        <f t="shared" si="30"/>
        <v>3154705.6499999994</v>
      </c>
    </row>
    <row r="251" spans="1:29" x14ac:dyDescent="0.2">
      <c r="A251" s="124" t="s">
        <v>266</v>
      </c>
      <c r="B251" s="99">
        <f t="shared" si="24"/>
        <v>-1.0840108401084011E-4</v>
      </c>
      <c r="C251" t="s">
        <v>228</v>
      </c>
      <c r="D251" s="99">
        <f t="shared" si="25"/>
        <v>4.4956140350877194E-2</v>
      </c>
      <c r="E251" s="123">
        <v>62579000</v>
      </c>
      <c r="F251" s="219">
        <v>25625</v>
      </c>
      <c r="G251" s="93">
        <v>25600</v>
      </c>
      <c r="H251" s="93">
        <v>1824</v>
      </c>
      <c r="I251" s="93">
        <v>3800</v>
      </c>
      <c r="J251" s="93">
        <v>1660</v>
      </c>
      <c r="K251" s="108">
        <f>(F251*138.66)*SUM(1,Macrogegevens!$C$4,0.5*Macrogegevens!$C$6,Macrogegevens!$C$8)</f>
        <v>3626712.9637500006</v>
      </c>
      <c r="L251" s="108">
        <f t="shared" si="31"/>
        <v>1966807</v>
      </c>
      <c r="M251" s="108">
        <v>6096117.1400274253</v>
      </c>
      <c r="N251" s="108">
        <v>4499477.2361501055</v>
      </c>
      <c r="O251" s="108">
        <v>0</v>
      </c>
      <c r="P251" s="108">
        <f t="shared" si="26"/>
        <v>10595594.376177531</v>
      </c>
      <c r="Q251" s="108">
        <v>61994000</v>
      </c>
      <c r="R251" s="155">
        <v>1832.4757004002288</v>
      </c>
      <c r="S251" s="122">
        <v>0.1052</v>
      </c>
      <c r="T251" s="122">
        <v>7.1099999999999997E-2</v>
      </c>
      <c r="U251" s="122">
        <v>5.2400000000000002E-2</v>
      </c>
      <c r="V251" s="122" t="s">
        <v>266</v>
      </c>
      <c r="W251" s="108">
        <v>1618000000</v>
      </c>
      <c r="X251" s="108">
        <v>305900000</v>
      </c>
      <c r="Y251" s="108">
        <v>349650000</v>
      </c>
      <c r="Z251" s="108">
        <f t="shared" si="27"/>
        <v>1702136</v>
      </c>
      <c r="AA251" s="108">
        <f t="shared" si="28"/>
        <v>400711.5</v>
      </c>
      <c r="AB251" s="108">
        <f t="shared" si="29"/>
        <v>4069654.5</v>
      </c>
      <c r="AC251" s="108">
        <f t="shared" si="30"/>
        <v>1966807</v>
      </c>
    </row>
    <row r="252" spans="1:29" x14ac:dyDescent="0.2">
      <c r="A252" s="124" t="s">
        <v>414</v>
      </c>
      <c r="B252" s="99">
        <f t="shared" si="24"/>
        <v>-3.4124736803891674E-3</v>
      </c>
      <c r="C252" t="s">
        <v>689</v>
      </c>
      <c r="D252" s="99">
        <f t="shared" si="25"/>
        <v>3.8523274478330656E-2</v>
      </c>
      <c r="E252" s="123">
        <v>23819176</v>
      </c>
      <c r="F252" s="219">
        <v>9182</v>
      </c>
      <c r="G252" s="93">
        <v>8900</v>
      </c>
      <c r="H252" s="93">
        <v>623</v>
      </c>
      <c r="I252" s="93">
        <v>1515</v>
      </c>
      <c r="J252" s="93">
        <v>575</v>
      </c>
      <c r="K252" s="108">
        <f>(F252*138.66)*SUM(1,Macrogegevens!$C$4,0.5*Macrogegevens!$C$6,Macrogegevens!$C$8)</f>
        <v>1299530.8656840001</v>
      </c>
      <c r="L252" s="108">
        <f t="shared" si="31"/>
        <v>631111.19999999995</v>
      </c>
      <c r="M252" s="108">
        <v>1272970.9178767598</v>
      </c>
      <c r="N252" s="108">
        <v>523271.90003339329</v>
      </c>
      <c r="O252" s="108">
        <v>0</v>
      </c>
      <c r="P252" s="108">
        <f t="shared" si="26"/>
        <v>1796242.817910153</v>
      </c>
      <c r="Q252" s="108">
        <v>21081345</v>
      </c>
      <c r="R252" s="155">
        <v>3906.8750683134767</v>
      </c>
      <c r="S252" s="122">
        <v>0.1043</v>
      </c>
      <c r="T252" s="122">
        <v>0.18770000000000001</v>
      </c>
      <c r="U252" s="122">
        <v>0.14630000000000001</v>
      </c>
      <c r="V252" s="122" t="s">
        <v>414</v>
      </c>
      <c r="W252" s="108">
        <v>810800000</v>
      </c>
      <c r="X252" s="108">
        <v>102200000</v>
      </c>
      <c r="Y252" s="108">
        <v>105000000</v>
      </c>
      <c r="Z252" s="108">
        <f t="shared" si="27"/>
        <v>845664.4</v>
      </c>
      <c r="AA252" s="108">
        <f t="shared" si="28"/>
        <v>345444.4</v>
      </c>
      <c r="AB252" s="108">
        <f t="shared" si="29"/>
        <v>1822220</v>
      </c>
      <c r="AC252" s="108">
        <f t="shared" si="30"/>
        <v>631111.19999999995</v>
      </c>
    </row>
    <row r="253" spans="1:29" x14ac:dyDescent="0.2">
      <c r="A253" s="124" t="s">
        <v>415</v>
      </c>
      <c r="B253" s="99">
        <f t="shared" si="24"/>
        <v>1.9865856297083062E-3</v>
      </c>
      <c r="C253" t="s">
        <v>689</v>
      </c>
      <c r="D253" s="99">
        <f t="shared" si="25"/>
        <v>4.2553191489361701E-2</v>
      </c>
      <c r="E253" s="123">
        <v>28894000</v>
      </c>
      <c r="F253" s="219">
        <v>11298</v>
      </c>
      <c r="G253" s="93">
        <v>11500</v>
      </c>
      <c r="H253" s="93">
        <v>940</v>
      </c>
      <c r="I253" s="93">
        <v>2075</v>
      </c>
      <c r="J253" s="93">
        <v>860</v>
      </c>
      <c r="K253" s="108">
        <f>(F253*138.66)*SUM(1,Macrogegevens!$C$4,0.5*Macrogegevens!$C$6,Macrogegevens!$C$8)</f>
        <v>1599008.9000760003</v>
      </c>
      <c r="L253" s="108">
        <f t="shared" si="31"/>
        <v>895304.39999999979</v>
      </c>
      <c r="M253" s="108">
        <v>2177983.0241241143</v>
      </c>
      <c r="N253" s="108">
        <v>1268709.3702496211</v>
      </c>
      <c r="O253" s="108">
        <v>0</v>
      </c>
      <c r="P253" s="108">
        <f t="shared" si="26"/>
        <v>3446692.3943737354</v>
      </c>
      <c r="Q253" s="108">
        <v>26425000</v>
      </c>
      <c r="R253" s="155">
        <v>233.79588968909187</v>
      </c>
      <c r="S253" s="122">
        <v>9.7600000000000006E-2</v>
      </c>
      <c r="T253" s="122">
        <v>0.12540000000000001</v>
      </c>
      <c r="U253" s="122">
        <v>9.7799999999999998E-2</v>
      </c>
      <c r="V253" s="122" t="s">
        <v>415</v>
      </c>
      <c r="W253" s="108">
        <v>849200000</v>
      </c>
      <c r="X253" s="108">
        <v>142100000</v>
      </c>
      <c r="Y253" s="108">
        <v>157500000</v>
      </c>
      <c r="Z253" s="108">
        <f t="shared" si="27"/>
        <v>828819.20000000007</v>
      </c>
      <c r="AA253" s="108">
        <f t="shared" si="28"/>
        <v>332228.40000000002</v>
      </c>
      <c r="AB253" s="108">
        <f t="shared" si="29"/>
        <v>2056352</v>
      </c>
      <c r="AC253" s="108">
        <f t="shared" si="30"/>
        <v>895304.39999999979</v>
      </c>
    </row>
    <row r="254" spans="1:29" x14ac:dyDescent="0.2">
      <c r="A254" s="124" t="s">
        <v>267</v>
      </c>
      <c r="B254" s="99">
        <f t="shared" si="24"/>
        <v>3.1295235756202298E-3</v>
      </c>
      <c r="C254" t="s">
        <v>228</v>
      </c>
      <c r="D254" s="99">
        <f t="shared" si="25"/>
        <v>7.017148014440433E-2</v>
      </c>
      <c r="E254" s="123">
        <v>62498000</v>
      </c>
      <c r="F254" s="219">
        <v>29859</v>
      </c>
      <c r="G254" s="93">
        <v>30700</v>
      </c>
      <c r="H254" s="93">
        <v>2216</v>
      </c>
      <c r="I254" s="93">
        <v>4530</v>
      </c>
      <c r="J254" s="93">
        <v>1905</v>
      </c>
      <c r="K254" s="108">
        <f>(F254*138.66)*SUM(1,Macrogegevens!$C$4,0.5*Macrogegevens!$C$6,Macrogegevens!$C$8)</f>
        <v>4225952.0930580003</v>
      </c>
      <c r="L254" s="108">
        <f t="shared" si="31"/>
        <v>1446748.5</v>
      </c>
      <c r="M254" s="108">
        <v>7663692.9993507555</v>
      </c>
      <c r="N254" s="108">
        <v>3913384.9656817154</v>
      </c>
      <c r="O254" s="108">
        <v>0</v>
      </c>
      <c r="P254" s="108">
        <f t="shared" si="26"/>
        <v>11577077.965032471</v>
      </c>
      <c r="Q254" s="108">
        <v>67323000</v>
      </c>
      <c r="R254" s="155">
        <v>1521.5220213722162</v>
      </c>
      <c r="S254" s="122">
        <v>0.1166</v>
      </c>
      <c r="T254" s="122">
        <v>0.15429999999999999</v>
      </c>
      <c r="U254" s="122">
        <v>0.1229</v>
      </c>
      <c r="V254" s="122" t="s">
        <v>267</v>
      </c>
      <c r="W254" s="108">
        <v>1817600000</v>
      </c>
      <c r="X254" s="108">
        <v>346500000</v>
      </c>
      <c r="Y254" s="108">
        <v>404600000</v>
      </c>
      <c r="Z254" s="108">
        <f t="shared" si="27"/>
        <v>2119321.6000000001</v>
      </c>
      <c r="AA254" s="108">
        <f t="shared" si="28"/>
        <v>1031902.9</v>
      </c>
      <c r="AB254" s="108">
        <f t="shared" si="29"/>
        <v>4597973</v>
      </c>
      <c r="AC254" s="108">
        <f t="shared" si="30"/>
        <v>1446748.5</v>
      </c>
    </row>
    <row r="255" spans="1:29" x14ac:dyDescent="0.2">
      <c r="A255" s="124" t="s">
        <v>551</v>
      </c>
      <c r="B255" s="99">
        <v>2.2522141123744316E-3</v>
      </c>
      <c r="C255" t="s">
        <v>621</v>
      </c>
      <c r="D255" s="99">
        <v>3.5831636159829816E-2</v>
      </c>
      <c r="E255" s="234">
        <v>238709425.38107055</v>
      </c>
      <c r="F255" s="235">
        <v>89712.515774548039</v>
      </c>
      <c r="G255" s="235">
        <v>91530.981921304498</v>
      </c>
      <c r="H255" s="235">
        <v>6035.745834810351</v>
      </c>
      <c r="I255" s="235">
        <v>14367.119815668202</v>
      </c>
      <c r="J255" s="235">
        <v>5603.2045373980854</v>
      </c>
      <c r="K255" s="235">
        <v>12697035.862250919</v>
      </c>
      <c r="L255" s="235">
        <v>4265173.0113434922</v>
      </c>
      <c r="M255" s="235">
        <v>22492550.196700227</v>
      </c>
      <c r="N255" s="235">
        <v>11449040.61094832</v>
      </c>
      <c r="O255" s="235">
        <v>15315159.909756798</v>
      </c>
      <c r="P255" s="235">
        <v>49256750.717405349</v>
      </c>
      <c r="Q255" s="235">
        <v>235120899.32647997</v>
      </c>
      <c r="R255" s="155">
        <v>1977</v>
      </c>
      <c r="S255" s="122">
        <v>0.112</v>
      </c>
      <c r="T255" s="122">
        <v>0.20399999999999999</v>
      </c>
      <c r="U255" s="122">
        <v>0.16500000000000001</v>
      </c>
      <c r="V255" s="122" t="s">
        <v>551</v>
      </c>
      <c r="W255" s="108">
        <v>6558905494.5054941</v>
      </c>
      <c r="X255" s="108">
        <v>1304556079.4044664</v>
      </c>
      <c r="Y255" s="108">
        <v>1406038213.3995037</v>
      </c>
      <c r="Z255" s="108">
        <v>7345974.153846154</v>
      </c>
      <c r="AA255" s="108">
        <v>4981257.4540942926</v>
      </c>
      <c r="AB255" s="108">
        <v>16592404.619283939</v>
      </c>
      <c r="AC255" s="108">
        <v>4265173.0113434922</v>
      </c>
    </row>
    <row r="256" spans="1:29" x14ac:dyDescent="0.2">
      <c r="A256" s="124" t="s">
        <v>471</v>
      </c>
      <c r="B256" s="99">
        <f t="shared" ref="B256:B314" si="32">SUM(G256,-F256)/(F256*9)</f>
        <v>-3.2635606572135943E-3</v>
      </c>
      <c r="C256" t="s">
        <v>689</v>
      </c>
      <c r="D256" s="99">
        <f t="shared" ref="D256:D314" si="33">SUM(H256,-J256)/(H256*2)</f>
        <v>3.4329307056579786E-2</v>
      </c>
      <c r="E256" s="123">
        <v>49591000</v>
      </c>
      <c r="F256" s="219">
        <v>23696</v>
      </c>
      <c r="G256" s="93">
        <v>23000</v>
      </c>
      <c r="H256" s="93">
        <v>1573</v>
      </c>
      <c r="I256" s="93">
        <v>3970</v>
      </c>
      <c r="J256" s="93">
        <v>1465</v>
      </c>
      <c r="K256" s="108">
        <f>(F256*138.66)*SUM(1,Macrogegevens!$C$4,0.5*Macrogegevens!$C$6,Macrogegevens!$C$8)</f>
        <v>3353701.0883520003</v>
      </c>
      <c r="L256" s="108">
        <f t="shared" ref="L256:L315" si="34">IF(AC256&gt;0,AC256,0)</f>
        <v>346894.97500000033</v>
      </c>
      <c r="M256" s="108">
        <v>4854570.6043398809</v>
      </c>
      <c r="N256" s="108">
        <v>2201030.3917461708</v>
      </c>
      <c r="O256" s="108">
        <v>0</v>
      </c>
      <c r="P256" s="108">
        <f t="shared" ref="P256:P314" si="35">SUM(M256,N256,O256)</f>
        <v>7055600.9960860517</v>
      </c>
      <c r="Q256" s="108">
        <v>50091000</v>
      </c>
      <c r="R256" s="155">
        <v>686.69072383782634</v>
      </c>
      <c r="S256" s="122">
        <v>0.12975999999999999</v>
      </c>
      <c r="T256" s="122">
        <v>0.26591999999999999</v>
      </c>
      <c r="U256" s="122">
        <v>0.21282999999999999</v>
      </c>
      <c r="V256" s="122" t="s">
        <v>471</v>
      </c>
      <c r="W256" s="108">
        <v>1736000000</v>
      </c>
      <c r="X256" s="108">
        <v>419650000</v>
      </c>
      <c r="Y256" s="108">
        <v>423150000</v>
      </c>
      <c r="Z256" s="108">
        <f t="shared" ref="Z256:Z314" si="36">S256/100*W256</f>
        <v>2252633.5999999996</v>
      </c>
      <c r="AA256" s="108">
        <f t="shared" ref="AA256:AA314" si="37">SUM(T256/100*X256,U256/100*Y256)</f>
        <v>2016523.425</v>
      </c>
      <c r="AB256" s="108">
        <f t="shared" ref="AB256:AB314" si="38">(0.179/100)*SUM(W256,X256,Y256)</f>
        <v>4616052</v>
      </c>
      <c r="AC256" s="108">
        <f t="shared" ref="AC256:AC314" si="39">SUM(AB256,-Z256,-AA256)</f>
        <v>346894.97500000033</v>
      </c>
    </row>
    <row r="257" spans="1:29" x14ac:dyDescent="0.2">
      <c r="A257" s="124" t="s">
        <v>335</v>
      </c>
      <c r="B257" s="99">
        <f t="shared" si="32"/>
        <v>-2.6881040860867438E-3</v>
      </c>
      <c r="C257" t="s">
        <v>228</v>
      </c>
      <c r="D257" s="99">
        <f t="shared" si="33"/>
        <v>5.8767228177641656E-2</v>
      </c>
      <c r="E257" s="123">
        <v>86000564</v>
      </c>
      <c r="F257" s="219">
        <v>39557</v>
      </c>
      <c r="G257" s="93">
        <v>38600</v>
      </c>
      <c r="H257" s="93">
        <v>2612</v>
      </c>
      <c r="I257" s="93">
        <v>5660</v>
      </c>
      <c r="J257" s="93">
        <v>2305</v>
      </c>
      <c r="K257" s="108">
        <f>(F257*138.66)*SUM(1,Macrogegevens!$C$4,0.5*Macrogegevens!$C$6,Macrogegevens!$C$8)</f>
        <v>5598512.5739340009</v>
      </c>
      <c r="L257" s="108">
        <f t="shared" si="34"/>
        <v>1586302.3400000003</v>
      </c>
      <c r="M257" s="108">
        <v>8671080.8190457299</v>
      </c>
      <c r="N257" s="108">
        <v>5884673.3798469994</v>
      </c>
      <c r="O257" s="108">
        <v>0</v>
      </c>
      <c r="P257" s="108">
        <f t="shared" si="35"/>
        <v>14555754.198892729</v>
      </c>
      <c r="Q257" s="108">
        <v>85815550</v>
      </c>
      <c r="R257" s="155">
        <v>2379.4520891295083</v>
      </c>
      <c r="S257" s="122">
        <v>0.14227999999999999</v>
      </c>
      <c r="T257" s="122">
        <v>0.13655</v>
      </c>
      <c r="U257" s="122">
        <v>0.11131000000000001</v>
      </c>
      <c r="V257" s="122" t="s">
        <v>335</v>
      </c>
      <c r="W257" s="108">
        <v>2696400000</v>
      </c>
      <c r="X257" s="108">
        <v>506449999.99999994</v>
      </c>
      <c r="Y257" s="108">
        <v>563150000</v>
      </c>
      <c r="Z257" s="108">
        <f t="shared" si="36"/>
        <v>3836437.92</v>
      </c>
      <c r="AA257" s="108">
        <f t="shared" si="37"/>
        <v>1318399.7399999998</v>
      </c>
      <c r="AB257" s="108">
        <f t="shared" si="38"/>
        <v>6741140</v>
      </c>
      <c r="AC257" s="108">
        <f t="shared" si="39"/>
        <v>1586302.3400000003</v>
      </c>
    </row>
    <row r="258" spans="1:29" x14ac:dyDescent="0.2">
      <c r="A258" s="124" t="s">
        <v>416</v>
      </c>
      <c r="B258" s="99">
        <f t="shared" si="32"/>
        <v>-3.2930478244153588E-3</v>
      </c>
      <c r="C258" t="s">
        <v>689</v>
      </c>
      <c r="D258" s="99">
        <f t="shared" si="33"/>
        <v>1.1866235167206042E-2</v>
      </c>
      <c r="E258" s="123">
        <v>23309654</v>
      </c>
      <c r="F258" s="219">
        <v>13294</v>
      </c>
      <c r="G258" s="93">
        <v>12900</v>
      </c>
      <c r="H258" s="93">
        <v>927</v>
      </c>
      <c r="I258" s="93">
        <v>3385</v>
      </c>
      <c r="J258" s="93">
        <v>905</v>
      </c>
      <c r="K258" s="108">
        <f>(F258*138.66)*SUM(1,Macrogegevens!$C$4,0.5*Macrogegevens!$C$6,Macrogegevens!$C$8)</f>
        <v>1881503.3030280003</v>
      </c>
      <c r="L258" s="108">
        <f t="shared" si="34"/>
        <v>986046.00000000047</v>
      </c>
      <c r="M258" s="108">
        <v>1933049.4001646235</v>
      </c>
      <c r="N258" s="108">
        <v>917750.24003307405</v>
      </c>
      <c r="O258" s="108">
        <v>0</v>
      </c>
      <c r="P258" s="108">
        <f t="shared" si="35"/>
        <v>2850799.6401976976</v>
      </c>
      <c r="Q258" s="108">
        <v>24074585</v>
      </c>
      <c r="R258" s="155">
        <v>-1270.7076876097412</v>
      </c>
      <c r="S258" s="122">
        <v>9.0399999999999994E-2</v>
      </c>
      <c r="T258" s="122">
        <v>0.23069999999999999</v>
      </c>
      <c r="U258" s="122">
        <v>0.192</v>
      </c>
      <c r="V258" s="122" t="s">
        <v>416</v>
      </c>
      <c r="W258" s="108">
        <v>1418400000</v>
      </c>
      <c r="X258" s="108">
        <v>417200000</v>
      </c>
      <c r="Y258" s="108">
        <v>422800000</v>
      </c>
      <c r="Z258" s="108">
        <f t="shared" si="36"/>
        <v>1282233.5999999999</v>
      </c>
      <c r="AA258" s="108">
        <f t="shared" si="37"/>
        <v>1774256.4</v>
      </c>
      <c r="AB258" s="108">
        <f t="shared" si="38"/>
        <v>4042536</v>
      </c>
      <c r="AC258" s="108">
        <f t="shared" si="39"/>
        <v>986046.00000000047</v>
      </c>
    </row>
    <row r="259" spans="1:29" x14ac:dyDescent="0.2">
      <c r="A259" s="124" t="s">
        <v>367</v>
      </c>
      <c r="B259" s="99">
        <f t="shared" si="32"/>
        <v>-1.1434779200125436E-2</v>
      </c>
      <c r="C259" t="s">
        <v>689</v>
      </c>
      <c r="D259" s="99">
        <f t="shared" si="33"/>
        <v>6.0209424083769635E-2</v>
      </c>
      <c r="E259" s="123">
        <v>18380573</v>
      </c>
      <c r="F259" s="219">
        <v>9921</v>
      </c>
      <c r="G259" s="93">
        <v>8900</v>
      </c>
      <c r="H259" s="93">
        <v>955</v>
      </c>
      <c r="I259" s="93">
        <v>2195</v>
      </c>
      <c r="J259" s="93">
        <v>840</v>
      </c>
      <c r="K259" s="108">
        <f>(F259*138.66)*SUM(1,Macrogegevens!$C$4,0.5*Macrogegevens!$C$6,Macrogegevens!$C$8)</f>
        <v>1404121.729302</v>
      </c>
      <c r="L259" s="108">
        <f t="shared" si="34"/>
        <v>762559.3</v>
      </c>
      <c r="M259" s="108">
        <v>1369948.0238627535</v>
      </c>
      <c r="N259" s="108">
        <v>1326316.2988068401</v>
      </c>
      <c r="O259" s="108">
        <v>0</v>
      </c>
      <c r="P259" s="108">
        <f t="shared" si="35"/>
        <v>2696264.3226695936</v>
      </c>
      <c r="Q259" s="108">
        <v>18280833</v>
      </c>
      <c r="R259" s="155">
        <v>-453.11388804226351</v>
      </c>
      <c r="S259" s="122">
        <v>0.1037</v>
      </c>
      <c r="T259" s="122">
        <v>0.16700000000000001</v>
      </c>
      <c r="U259" s="122">
        <v>0.13200000000000001</v>
      </c>
      <c r="V259" s="122" t="s">
        <v>367</v>
      </c>
      <c r="W259" s="108">
        <v>903600000</v>
      </c>
      <c r="X259" s="108">
        <v>123899999.99999999</v>
      </c>
      <c r="Y259" s="108">
        <v>143150000</v>
      </c>
      <c r="Z259" s="108">
        <f t="shared" si="36"/>
        <v>937033.2</v>
      </c>
      <c r="AA259" s="108">
        <f t="shared" si="37"/>
        <v>395871</v>
      </c>
      <c r="AB259" s="108">
        <f t="shared" si="38"/>
        <v>2095463.5</v>
      </c>
      <c r="AC259" s="108">
        <f t="shared" si="39"/>
        <v>762559.3</v>
      </c>
    </row>
    <row r="260" spans="1:29" x14ac:dyDescent="0.2">
      <c r="A260" s="124" t="s">
        <v>336</v>
      </c>
      <c r="B260" s="99">
        <f t="shared" si="32"/>
        <v>6.1102212730616357E-3</v>
      </c>
      <c r="C260" t="s">
        <v>689</v>
      </c>
      <c r="D260" s="99">
        <f t="shared" si="33"/>
        <v>5.528480048735912E-2</v>
      </c>
      <c r="E260" s="123">
        <v>95404276</v>
      </c>
      <c r="F260" s="219">
        <v>46825</v>
      </c>
      <c r="G260" s="93">
        <v>49400</v>
      </c>
      <c r="H260" s="93">
        <v>3283</v>
      </c>
      <c r="I260" s="93">
        <v>7330</v>
      </c>
      <c r="J260" s="93">
        <v>2920</v>
      </c>
      <c r="K260" s="108">
        <f>(F260*138.66)*SUM(1,Macrogegevens!$C$4,0.5*Macrogegevens!$C$6,Macrogegevens!$C$8)</f>
        <v>6627154.5181500008</v>
      </c>
      <c r="L260" s="108">
        <f t="shared" si="34"/>
        <v>3276616.8000000007</v>
      </c>
      <c r="M260" s="108">
        <v>9772669.1192085594</v>
      </c>
      <c r="N260" s="108">
        <v>4462853.5232334156</v>
      </c>
      <c r="O260" s="108">
        <v>0</v>
      </c>
      <c r="P260" s="108">
        <f t="shared" si="35"/>
        <v>14235522.642441975</v>
      </c>
      <c r="Q260" s="108">
        <v>100423890</v>
      </c>
      <c r="R260" s="155">
        <v>948.15367400223795</v>
      </c>
      <c r="S260" s="122">
        <v>0.1042</v>
      </c>
      <c r="T260" s="122">
        <v>0.13370000000000001</v>
      </c>
      <c r="U260" s="122">
        <v>0.1082</v>
      </c>
      <c r="V260" s="122" t="s">
        <v>336</v>
      </c>
      <c r="W260" s="108">
        <v>3423600000</v>
      </c>
      <c r="X260" s="108">
        <v>589400000</v>
      </c>
      <c r="Y260" s="108">
        <v>633850000</v>
      </c>
      <c r="Z260" s="108">
        <f t="shared" si="36"/>
        <v>3567391.1999999997</v>
      </c>
      <c r="AA260" s="108">
        <f t="shared" si="37"/>
        <v>1473853.5</v>
      </c>
      <c r="AB260" s="108">
        <f t="shared" si="38"/>
        <v>8317861.5</v>
      </c>
      <c r="AC260" s="108">
        <f t="shared" si="39"/>
        <v>3276616.8000000007</v>
      </c>
    </row>
    <row r="261" spans="1:29" x14ac:dyDescent="0.2">
      <c r="A261" s="124" t="s">
        <v>473</v>
      </c>
      <c r="B261" s="99">
        <f t="shared" si="32"/>
        <v>-9.6678406187417998E-4</v>
      </c>
      <c r="C261" t="s">
        <v>689</v>
      </c>
      <c r="D261" s="99">
        <f t="shared" si="33"/>
        <v>4.8571428571428571E-2</v>
      </c>
      <c r="E261" s="123">
        <v>71263000</v>
      </c>
      <c r="F261" s="219">
        <v>32180</v>
      </c>
      <c r="G261" s="93">
        <v>31900</v>
      </c>
      <c r="H261" s="93">
        <v>1750</v>
      </c>
      <c r="I261" s="93">
        <v>4175</v>
      </c>
      <c r="J261" s="93">
        <v>1580</v>
      </c>
      <c r="K261" s="108">
        <f>(F261*138.66)*SUM(1,Macrogegevens!$C$4,0.5*Macrogegevens!$C$6,Macrogegevens!$C$8)</f>
        <v>4554443.8311600005</v>
      </c>
      <c r="L261" s="108">
        <f t="shared" si="34"/>
        <v>903102.75</v>
      </c>
      <c r="M261" s="108">
        <v>6285065.9589225296</v>
      </c>
      <c r="N261" s="108">
        <v>3092410.8997590542</v>
      </c>
      <c r="O261" s="108">
        <v>0</v>
      </c>
      <c r="P261" s="108">
        <f t="shared" si="35"/>
        <v>9377476.8586815838</v>
      </c>
      <c r="Q261" s="108">
        <v>71133000</v>
      </c>
      <c r="R261" s="155">
        <v>1390.8893981728565</v>
      </c>
      <c r="S261" s="122">
        <v>0.12870000000000001</v>
      </c>
      <c r="T261" s="122">
        <v>0.22189999999999999</v>
      </c>
      <c r="U261" s="122">
        <v>0.1867</v>
      </c>
      <c r="V261" s="122" t="s">
        <v>473</v>
      </c>
      <c r="W261" s="108">
        <v>2151600000</v>
      </c>
      <c r="X261" s="108">
        <v>353150000</v>
      </c>
      <c r="Y261" s="108">
        <v>359100000</v>
      </c>
      <c r="Z261" s="108">
        <f t="shared" si="36"/>
        <v>2769109.2</v>
      </c>
      <c r="AA261" s="108">
        <f t="shared" si="37"/>
        <v>1454079.5499999998</v>
      </c>
      <c r="AB261" s="108">
        <f t="shared" si="38"/>
        <v>5126291.5</v>
      </c>
      <c r="AC261" s="108">
        <f t="shared" si="39"/>
        <v>903102.75</v>
      </c>
    </row>
    <row r="262" spans="1:29" x14ac:dyDescent="0.2">
      <c r="A262" s="124" t="s">
        <v>593</v>
      </c>
      <c r="B262" s="99">
        <f t="shared" si="32"/>
        <v>-8.0552359033371698E-3</v>
      </c>
      <c r="C262" t="s">
        <v>689</v>
      </c>
      <c r="D262" s="99">
        <f t="shared" si="33"/>
        <v>3.1695156695156698E-2</v>
      </c>
      <c r="E262" s="123">
        <v>84155846</v>
      </c>
      <c r="F262" s="219">
        <v>43450</v>
      </c>
      <c r="G262" s="93">
        <v>40300</v>
      </c>
      <c r="H262" s="93">
        <v>2808</v>
      </c>
      <c r="I262" s="93">
        <v>6145</v>
      </c>
      <c r="J262" s="93">
        <v>2630</v>
      </c>
      <c r="K262" s="108">
        <f>(F262*138.66)*SUM(1,Macrogegevens!$C$4,0.5*Macrogegevens!$C$6,Macrogegevens!$C$8)</f>
        <v>6149489.8839000007</v>
      </c>
      <c r="L262" s="108">
        <f t="shared" si="34"/>
        <v>3116550.4</v>
      </c>
      <c r="M262" s="108">
        <v>7102505.9083754085</v>
      </c>
      <c r="N262" s="108">
        <v>5574302.1690098578</v>
      </c>
      <c r="O262" s="108">
        <v>0</v>
      </c>
      <c r="P262" s="108">
        <f t="shared" si="35"/>
        <v>12676808.077385265</v>
      </c>
      <c r="Q262" s="108">
        <v>84455851</v>
      </c>
      <c r="R262" s="155">
        <v>1302.5962816953977</v>
      </c>
      <c r="S262" s="122">
        <v>9.4600000000000004E-2</v>
      </c>
      <c r="T262" s="122">
        <v>0.15840000000000001</v>
      </c>
      <c r="U262" s="122">
        <v>0.1268</v>
      </c>
      <c r="V262" s="122" t="s">
        <v>593</v>
      </c>
      <c r="W262" s="108">
        <v>3098000000</v>
      </c>
      <c r="X262" s="108">
        <v>640150000</v>
      </c>
      <c r="Y262" s="108">
        <v>708750000</v>
      </c>
      <c r="Z262" s="108">
        <f t="shared" si="36"/>
        <v>2930708</v>
      </c>
      <c r="AA262" s="108">
        <f t="shared" si="37"/>
        <v>1912692.6</v>
      </c>
      <c r="AB262" s="108">
        <f t="shared" si="38"/>
        <v>7959951</v>
      </c>
      <c r="AC262" s="108">
        <f t="shared" si="39"/>
        <v>3116550.4</v>
      </c>
    </row>
    <row r="263" spans="1:29" x14ac:dyDescent="0.2">
      <c r="A263" s="124" t="s">
        <v>244</v>
      </c>
      <c r="B263" s="99">
        <f t="shared" si="32"/>
        <v>-1.4005896298629155E-2</v>
      </c>
      <c r="C263" t="s">
        <v>621</v>
      </c>
      <c r="D263" s="99">
        <f t="shared" si="33"/>
        <v>1.3108614232209739E-2</v>
      </c>
      <c r="E263" s="123">
        <v>40724107</v>
      </c>
      <c r="F263" s="219">
        <v>12701</v>
      </c>
      <c r="G263" s="93">
        <v>11100</v>
      </c>
      <c r="H263" s="93">
        <v>534</v>
      </c>
      <c r="I263" s="93">
        <v>1240</v>
      </c>
      <c r="J263" s="93">
        <v>520</v>
      </c>
      <c r="K263" s="108">
        <f>(F263*138.66)*SUM(1,Macrogegevens!$C$4,0.5*Macrogegevens!$C$6,Macrogegevens!$C$8)</f>
        <v>1797575.8576620002</v>
      </c>
      <c r="L263" s="108">
        <f t="shared" si="34"/>
        <v>0</v>
      </c>
      <c r="M263" s="108">
        <v>5231376.854175902</v>
      </c>
      <c r="N263" s="108">
        <v>2376573.8286660886</v>
      </c>
      <c r="O263" s="108">
        <v>0</v>
      </c>
      <c r="P263" s="108">
        <f t="shared" si="35"/>
        <v>7607950.6828419901</v>
      </c>
      <c r="Q263" s="108">
        <v>41556153</v>
      </c>
      <c r="R263" s="155">
        <v>628.61958020530108</v>
      </c>
      <c r="S263" s="122">
        <v>0.17760000000000001</v>
      </c>
      <c r="T263" s="122">
        <v>0.3049</v>
      </c>
      <c r="U263" s="122">
        <v>0.24079999999999999</v>
      </c>
      <c r="V263" s="122" t="s">
        <v>244</v>
      </c>
      <c r="W263" s="108">
        <v>589200000</v>
      </c>
      <c r="X263" s="108">
        <v>86450000</v>
      </c>
      <c r="Y263" s="108">
        <v>96600000</v>
      </c>
      <c r="Z263" s="108">
        <f t="shared" si="36"/>
        <v>1046419.2</v>
      </c>
      <c r="AA263" s="108">
        <f t="shared" si="37"/>
        <v>496198.85</v>
      </c>
      <c r="AB263" s="108">
        <f t="shared" si="38"/>
        <v>1382327.5</v>
      </c>
      <c r="AC263" s="108">
        <f t="shared" si="39"/>
        <v>-160290.54999999993</v>
      </c>
    </row>
    <row r="264" spans="1:29" x14ac:dyDescent="0.2">
      <c r="A264" s="124" t="s">
        <v>474</v>
      </c>
      <c r="B264" s="99">
        <f t="shared" si="32"/>
        <v>1.5812266222326364E-2</v>
      </c>
      <c r="C264" t="s">
        <v>689</v>
      </c>
      <c r="D264" s="99">
        <f t="shared" si="33"/>
        <v>3.5772357723577237E-2</v>
      </c>
      <c r="E264" s="123">
        <v>114633000</v>
      </c>
      <c r="F264" s="219">
        <v>51212</v>
      </c>
      <c r="G264" s="93">
        <v>58500</v>
      </c>
      <c r="H264" s="93">
        <v>3075</v>
      </c>
      <c r="I264" s="93">
        <v>7140</v>
      </c>
      <c r="J264" s="93">
        <v>2855</v>
      </c>
      <c r="K264" s="108">
        <f>(F264*138.66)*SUM(1,Macrogegevens!$C$4,0.5*Macrogegevens!$C$6,Macrogegevens!$C$8)</f>
        <v>7248047.7775440011</v>
      </c>
      <c r="L264" s="108">
        <f t="shared" si="34"/>
        <v>2984715.3000000007</v>
      </c>
      <c r="M264" s="108">
        <v>9714426.0659580603</v>
      </c>
      <c r="N264" s="108">
        <v>3318315.9664814705</v>
      </c>
      <c r="O264" s="108">
        <v>0</v>
      </c>
      <c r="P264" s="108">
        <f t="shared" si="35"/>
        <v>13032742.03243953</v>
      </c>
      <c r="Q264" s="108">
        <v>122699000</v>
      </c>
      <c r="R264" s="155">
        <v>2305.1673505092372</v>
      </c>
      <c r="S264" s="122">
        <v>0.1074</v>
      </c>
      <c r="T264" s="122">
        <v>0.20419999999999999</v>
      </c>
      <c r="U264" s="122">
        <v>0.1439</v>
      </c>
      <c r="V264" s="122" t="s">
        <v>474</v>
      </c>
      <c r="W264" s="108">
        <v>4074000000</v>
      </c>
      <c r="X264" s="108">
        <v>596050000</v>
      </c>
      <c r="Y264" s="108">
        <v>620900000</v>
      </c>
      <c r="Z264" s="108">
        <f t="shared" si="36"/>
        <v>4375475.9999999991</v>
      </c>
      <c r="AA264" s="108">
        <f t="shared" si="37"/>
        <v>2110609.2000000002</v>
      </c>
      <c r="AB264" s="108">
        <f t="shared" si="38"/>
        <v>9470800.5</v>
      </c>
      <c r="AC264" s="108">
        <f t="shared" si="39"/>
        <v>2984715.3000000007</v>
      </c>
    </row>
    <row r="265" spans="1:29" x14ac:dyDescent="0.2">
      <c r="A265" s="124" t="s">
        <v>417</v>
      </c>
      <c r="B265" s="99">
        <f t="shared" si="32"/>
        <v>2.5111353989131905E-3</v>
      </c>
      <c r="C265" t="s">
        <v>621</v>
      </c>
      <c r="D265" s="99">
        <f t="shared" si="33"/>
        <v>2.5347912524850896E-2</v>
      </c>
      <c r="E265" s="123">
        <v>180245000</v>
      </c>
      <c r="F265" s="219">
        <v>79601</v>
      </c>
      <c r="G265" s="93">
        <v>81400</v>
      </c>
      <c r="H265" s="93">
        <v>4024</v>
      </c>
      <c r="I265" s="93">
        <v>9630</v>
      </c>
      <c r="J265" s="93">
        <v>3820</v>
      </c>
      <c r="K265" s="108">
        <f>(F265*138.66)*SUM(1,Macrogegevens!$C$4,0.5*Macrogegevens!$C$6,Macrogegevens!$C$8)</f>
        <v>11265950.385462003</v>
      </c>
      <c r="L265" s="108">
        <f t="shared" si="34"/>
        <v>3017089.6499999994</v>
      </c>
      <c r="M265" s="108">
        <v>18670804.062584456</v>
      </c>
      <c r="N265" s="108">
        <v>9870054.1563163884</v>
      </c>
      <c r="O265" s="108">
        <v>4790293.695102402</v>
      </c>
      <c r="P265" s="108">
        <f t="shared" si="35"/>
        <v>33331151.914003246</v>
      </c>
      <c r="Q265" s="108">
        <v>183937000</v>
      </c>
      <c r="R265" s="155">
        <v>3299.2611149067538</v>
      </c>
      <c r="S265" s="122">
        <v>0.1169</v>
      </c>
      <c r="T265" s="122">
        <v>0.20030000000000001</v>
      </c>
      <c r="U265" s="122">
        <v>0.19400000000000001</v>
      </c>
      <c r="V265" s="122" t="s">
        <v>417</v>
      </c>
      <c r="W265" s="108">
        <v>5360400000</v>
      </c>
      <c r="X265" s="108">
        <v>848750000</v>
      </c>
      <c r="Y265" s="108">
        <v>872900000</v>
      </c>
      <c r="Z265" s="108">
        <f t="shared" si="36"/>
        <v>6266307.6000000006</v>
      </c>
      <c r="AA265" s="108">
        <f t="shared" si="37"/>
        <v>3393472.25</v>
      </c>
      <c r="AB265" s="108">
        <f t="shared" si="38"/>
        <v>12676869.5</v>
      </c>
      <c r="AC265" s="108">
        <f t="shared" si="39"/>
        <v>3017089.6499999994</v>
      </c>
    </row>
    <row r="266" spans="1:29" x14ac:dyDescent="0.2">
      <c r="A266" s="124" t="s">
        <v>337</v>
      </c>
      <c r="B266" s="99">
        <f t="shared" si="32"/>
        <v>-4.9351324009897606E-3</v>
      </c>
      <c r="C266" t="s">
        <v>228</v>
      </c>
      <c r="D266" s="99">
        <f t="shared" si="33"/>
        <v>5.8173784977908691E-2</v>
      </c>
      <c r="E266" s="123">
        <v>37948000</v>
      </c>
      <c r="F266" s="219">
        <v>24383</v>
      </c>
      <c r="G266" s="93">
        <v>23300</v>
      </c>
      <c r="H266" s="93">
        <v>2037</v>
      </c>
      <c r="I266" s="93">
        <v>4790</v>
      </c>
      <c r="J266" s="93">
        <v>1800</v>
      </c>
      <c r="K266" s="108">
        <f>(F266*138.66)*SUM(1,Macrogegevens!$C$4,0.5*Macrogegevens!$C$6,Macrogegevens!$C$8)</f>
        <v>3450932.3783460003</v>
      </c>
      <c r="L266" s="108">
        <f t="shared" si="34"/>
        <v>2586277.6</v>
      </c>
      <c r="M266" s="108">
        <v>4586883.7303528003</v>
      </c>
      <c r="N266" s="108">
        <v>2956195.3894985891</v>
      </c>
      <c r="O266" s="108">
        <v>0</v>
      </c>
      <c r="P266" s="108">
        <f t="shared" si="35"/>
        <v>7543079.1198513899</v>
      </c>
      <c r="Q266" s="108">
        <v>39134000</v>
      </c>
      <c r="R266" s="155">
        <v>-253.43336724313326</v>
      </c>
      <c r="S266" s="122">
        <v>7.4899999999999994E-2</v>
      </c>
      <c r="T266" s="122">
        <v>0.13689999999999999</v>
      </c>
      <c r="U266" s="122">
        <v>0.10879999999999999</v>
      </c>
      <c r="V266" s="122" t="s">
        <v>337</v>
      </c>
      <c r="W266" s="108">
        <v>2116000000</v>
      </c>
      <c r="X266" s="108">
        <v>326200000</v>
      </c>
      <c r="Y266" s="108">
        <v>350700000</v>
      </c>
      <c r="Z266" s="108">
        <f t="shared" si="36"/>
        <v>1584884</v>
      </c>
      <c r="AA266" s="108">
        <f t="shared" si="37"/>
        <v>828129.39999999991</v>
      </c>
      <c r="AB266" s="108">
        <f t="shared" si="38"/>
        <v>4999291</v>
      </c>
      <c r="AC266" s="108">
        <f t="shared" si="39"/>
        <v>2586277.6</v>
      </c>
    </row>
    <row r="267" spans="1:29" x14ac:dyDescent="0.2">
      <c r="A267" s="124" t="s">
        <v>289</v>
      </c>
      <c r="B267" s="99">
        <f t="shared" si="32"/>
        <v>-1.5209056218864693E-3</v>
      </c>
      <c r="C267" t="s">
        <v>689</v>
      </c>
      <c r="D267" s="99">
        <f t="shared" si="33"/>
        <v>8.49609375E-2</v>
      </c>
      <c r="E267" s="123">
        <v>68804832</v>
      </c>
      <c r="F267" s="219">
        <v>36601</v>
      </c>
      <c r="G267" s="93">
        <v>36100</v>
      </c>
      <c r="H267" s="93">
        <v>2560</v>
      </c>
      <c r="I267" s="93">
        <v>4795</v>
      </c>
      <c r="J267" s="93">
        <v>2125</v>
      </c>
      <c r="K267" s="108">
        <f>(F267*138.66)*SUM(1,Macrogegevens!$C$4,0.5*Macrogegevens!$C$6,Macrogegevens!$C$8)</f>
        <v>5180149.1194620011</v>
      </c>
      <c r="L267" s="108">
        <f t="shared" si="34"/>
        <v>1908354.15</v>
      </c>
      <c r="M267" s="108">
        <v>6956342.531583163</v>
      </c>
      <c r="N267" s="108">
        <v>5130374.6884404728</v>
      </c>
      <c r="O267" s="108">
        <v>0</v>
      </c>
      <c r="P267" s="108">
        <f t="shared" si="35"/>
        <v>12086717.220023636</v>
      </c>
      <c r="Q267" s="108">
        <v>71401184</v>
      </c>
      <c r="R267" s="155">
        <v>584.19393412327429</v>
      </c>
      <c r="S267" s="122">
        <v>0.1172</v>
      </c>
      <c r="T267" s="122">
        <v>0.18310000000000001</v>
      </c>
      <c r="U267" s="122">
        <v>0.1467</v>
      </c>
      <c r="V267" s="122" t="s">
        <v>289</v>
      </c>
      <c r="W267" s="108">
        <v>2790800000</v>
      </c>
      <c r="X267" s="108">
        <v>558600000</v>
      </c>
      <c r="Y267" s="108">
        <v>639450000</v>
      </c>
      <c r="Z267" s="108">
        <f t="shared" si="36"/>
        <v>3270817.6</v>
      </c>
      <c r="AA267" s="108">
        <f t="shared" si="37"/>
        <v>1960869.75</v>
      </c>
      <c r="AB267" s="108">
        <f t="shared" si="38"/>
        <v>7140041.5</v>
      </c>
      <c r="AC267" s="108">
        <f t="shared" si="39"/>
        <v>1908354.15</v>
      </c>
    </row>
    <row r="268" spans="1:29" x14ac:dyDescent="0.2">
      <c r="A268" s="124" t="s">
        <v>502</v>
      </c>
      <c r="B268" s="99">
        <f t="shared" si="32"/>
        <v>-2.2527630365431427E-3</v>
      </c>
      <c r="C268" t="s">
        <v>689</v>
      </c>
      <c r="D268" s="99">
        <f t="shared" si="33"/>
        <v>4.5148247978436661E-2</v>
      </c>
      <c r="E268" s="123">
        <v>44018000</v>
      </c>
      <c r="F268" s="219">
        <v>22047</v>
      </c>
      <c r="G268" s="93">
        <v>21600</v>
      </c>
      <c r="H268" s="93">
        <v>1484</v>
      </c>
      <c r="I268" s="93">
        <v>3480</v>
      </c>
      <c r="J268" s="93">
        <v>1350</v>
      </c>
      <c r="K268" s="108">
        <f>(F268*138.66)*SUM(1,Macrogegevens!$C$4,0.5*Macrogegevens!$C$6,Macrogegevens!$C$8)</f>
        <v>3120317.6863140007</v>
      </c>
      <c r="L268" s="108">
        <f t="shared" si="34"/>
        <v>1151078.2</v>
      </c>
      <c r="M268" s="108">
        <v>4385432.6922916574</v>
      </c>
      <c r="N268" s="108">
        <v>2122081.8359715589</v>
      </c>
      <c r="O268" s="108">
        <v>0</v>
      </c>
      <c r="P268" s="108">
        <f t="shared" si="35"/>
        <v>6507514.5282632168</v>
      </c>
      <c r="Q268" s="108">
        <v>43474000</v>
      </c>
      <c r="R268" s="155">
        <v>1439.3276215310113</v>
      </c>
      <c r="S268" s="122">
        <v>0.1061</v>
      </c>
      <c r="T268" s="122">
        <v>0.16220000000000001</v>
      </c>
      <c r="U268" s="122">
        <v>0.1303</v>
      </c>
      <c r="V268" s="122" t="s">
        <v>502</v>
      </c>
      <c r="W268" s="108">
        <v>1284800000</v>
      </c>
      <c r="X268" s="108">
        <v>306600000</v>
      </c>
      <c r="Y268" s="108">
        <v>334600000</v>
      </c>
      <c r="Z268" s="108">
        <f t="shared" si="36"/>
        <v>1363172.8</v>
      </c>
      <c r="AA268" s="108">
        <f t="shared" si="37"/>
        <v>933289</v>
      </c>
      <c r="AB268" s="108">
        <f t="shared" si="38"/>
        <v>3447540</v>
      </c>
      <c r="AC268" s="108">
        <f t="shared" si="39"/>
        <v>1151078.2</v>
      </c>
    </row>
    <row r="269" spans="1:29" x14ac:dyDescent="0.2">
      <c r="A269" s="124" t="s">
        <v>338</v>
      </c>
      <c r="B269" s="99">
        <f t="shared" si="32"/>
        <v>-2.8722215147784992E-3</v>
      </c>
      <c r="C269" t="s">
        <v>228</v>
      </c>
      <c r="D269" s="99">
        <f t="shared" si="33"/>
        <v>2.4975514201762979E-2</v>
      </c>
      <c r="E269" s="123">
        <v>62458000</v>
      </c>
      <c r="F269" s="219">
        <v>31412</v>
      </c>
      <c r="G269" s="93">
        <v>30600</v>
      </c>
      <c r="H269" s="93">
        <v>2042</v>
      </c>
      <c r="I269" s="93">
        <v>4960</v>
      </c>
      <c r="J269" s="93">
        <v>1940</v>
      </c>
      <c r="K269" s="108">
        <f>(F269*138.66)*SUM(1,Macrogegevens!$C$4,0.5*Macrogegevens!$C$6,Macrogegevens!$C$8)</f>
        <v>4445748.5899440004</v>
      </c>
      <c r="L269" s="108">
        <f t="shared" si="34"/>
        <v>1684017.5999999996</v>
      </c>
      <c r="M269" s="108">
        <v>10713998.712736119</v>
      </c>
      <c r="N269" s="108">
        <v>4488853.5762509545</v>
      </c>
      <c r="O269" s="108">
        <v>0</v>
      </c>
      <c r="P269" s="108">
        <f t="shared" si="35"/>
        <v>15202852.288987074</v>
      </c>
      <c r="Q269" s="108">
        <v>60715000</v>
      </c>
      <c r="R269" s="155">
        <v>466.23073035127624</v>
      </c>
      <c r="S269" s="122">
        <v>0.1149</v>
      </c>
      <c r="T269" s="122">
        <v>0.22550000000000001</v>
      </c>
      <c r="U269" s="122">
        <v>0.183</v>
      </c>
      <c r="V269" s="122" t="s">
        <v>338</v>
      </c>
      <c r="W269" s="108">
        <v>2891600000</v>
      </c>
      <c r="X269" s="108">
        <v>333200000</v>
      </c>
      <c r="Y269" s="108">
        <v>364000000</v>
      </c>
      <c r="Z269" s="108">
        <f t="shared" si="36"/>
        <v>3322448.4000000004</v>
      </c>
      <c r="AA269" s="108">
        <f t="shared" si="37"/>
        <v>1417486</v>
      </c>
      <c r="AB269" s="108">
        <f t="shared" si="38"/>
        <v>6423952</v>
      </c>
      <c r="AC269" s="108">
        <f t="shared" si="39"/>
        <v>1684017.5999999996</v>
      </c>
    </row>
    <row r="270" spans="1:29" x14ac:dyDescent="0.2">
      <c r="A270" s="124" t="s">
        <v>368</v>
      </c>
      <c r="B270" s="99">
        <f t="shared" si="32"/>
        <v>-1.6970346552340121E-3</v>
      </c>
      <c r="C270" t="s">
        <v>689</v>
      </c>
      <c r="D270" s="99">
        <f t="shared" si="33"/>
        <v>5.6902985074626863E-2</v>
      </c>
      <c r="E270" s="123">
        <v>11389221</v>
      </c>
      <c r="F270" s="219">
        <v>4976</v>
      </c>
      <c r="G270" s="93">
        <v>4900</v>
      </c>
      <c r="H270" s="93">
        <v>536</v>
      </c>
      <c r="I270" s="93">
        <v>1215</v>
      </c>
      <c r="J270" s="93">
        <v>475</v>
      </c>
      <c r="K270" s="108">
        <f>(F270*138.66)*SUM(1,Macrogegevens!$C$4,0.5*Macrogegevens!$C$6,Macrogegevens!$C$8)</f>
        <v>704254.58371200017</v>
      </c>
      <c r="L270" s="108">
        <f t="shared" si="34"/>
        <v>441001.49999999994</v>
      </c>
      <c r="M270" s="108">
        <v>896741.39064930193</v>
      </c>
      <c r="N270" s="108">
        <v>475163.92995182285</v>
      </c>
      <c r="O270" s="108">
        <v>0</v>
      </c>
      <c r="P270" s="108">
        <f t="shared" si="35"/>
        <v>1371905.3206011248</v>
      </c>
      <c r="Q270" s="108">
        <v>12039312</v>
      </c>
      <c r="R270" s="155">
        <v>3936.1147327249023</v>
      </c>
      <c r="S270" s="122">
        <v>8.2100000000000006E-2</v>
      </c>
      <c r="T270" s="122">
        <v>0.14000000000000001</v>
      </c>
      <c r="U270" s="122">
        <v>0.14000000000000001</v>
      </c>
      <c r="V270" s="122" t="s">
        <v>368</v>
      </c>
      <c r="W270" s="108">
        <v>382000000</v>
      </c>
      <c r="X270" s="108">
        <v>81900000</v>
      </c>
      <c r="Y270" s="108">
        <v>99750000</v>
      </c>
      <c r="Z270" s="108">
        <f t="shared" si="36"/>
        <v>313622.00000000006</v>
      </c>
      <c r="AA270" s="108">
        <f t="shared" si="37"/>
        <v>254310.00000000006</v>
      </c>
      <c r="AB270" s="108">
        <f t="shared" si="38"/>
        <v>1008933.5</v>
      </c>
      <c r="AC270" s="108">
        <f t="shared" si="39"/>
        <v>441001.49999999994</v>
      </c>
    </row>
    <row r="271" spans="1:29" x14ac:dyDescent="0.2">
      <c r="A271" s="124" t="s">
        <v>552</v>
      </c>
      <c r="B271" s="99">
        <f t="shared" si="32"/>
        <v>-6.5231572080887146E-4</v>
      </c>
      <c r="C271" t="s">
        <v>689</v>
      </c>
      <c r="D271" s="99">
        <f t="shared" si="33"/>
        <v>4.5454545454545456E-2</v>
      </c>
      <c r="E271" s="123">
        <v>27033000</v>
      </c>
      <c r="F271" s="219">
        <v>12775</v>
      </c>
      <c r="G271" s="93">
        <v>12700</v>
      </c>
      <c r="H271" s="93">
        <v>1056</v>
      </c>
      <c r="I271" s="93">
        <v>2335</v>
      </c>
      <c r="J271" s="93">
        <v>960</v>
      </c>
      <c r="K271" s="108">
        <f>(F271*138.66)*SUM(1,Macrogegevens!$C$4,0.5*Macrogegevens!$C$6,Macrogegevens!$C$8)</f>
        <v>1808049.0970500002</v>
      </c>
      <c r="L271" s="108">
        <f t="shared" si="34"/>
        <v>1015981.25</v>
      </c>
      <c r="M271" s="108">
        <v>1980576.3643299469</v>
      </c>
      <c r="N271" s="108">
        <v>1381675.8288595006</v>
      </c>
      <c r="O271" s="108">
        <v>0</v>
      </c>
      <c r="P271" s="108">
        <f t="shared" si="35"/>
        <v>3362252.1931894477</v>
      </c>
      <c r="Q271" s="108">
        <v>26166000</v>
      </c>
      <c r="R271" s="155">
        <v>1855.9139784946237</v>
      </c>
      <c r="S271" s="122">
        <v>9.9000000000000005E-2</v>
      </c>
      <c r="T271" s="122">
        <v>0.1739</v>
      </c>
      <c r="U271" s="122">
        <v>0.1103</v>
      </c>
      <c r="V271" s="122" t="s">
        <v>552</v>
      </c>
      <c r="W271" s="108">
        <v>1064800000</v>
      </c>
      <c r="X271" s="108">
        <v>186900000</v>
      </c>
      <c r="Y271" s="108">
        <v>225050000</v>
      </c>
      <c r="Z271" s="108">
        <f t="shared" si="36"/>
        <v>1054152</v>
      </c>
      <c r="AA271" s="108">
        <f t="shared" si="37"/>
        <v>573249.25</v>
      </c>
      <c r="AB271" s="108">
        <f t="shared" si="38"/>
        <v>2643382.5</v>
      </c>
      <c r="AC271" s="108">
        <f t="shared" si="39"/>
        <v>1015981.25</v>
      </c>
    </row>
    <row r="272" spans="1:29" x14ac:dyDescent="0.2">
      <c r="A272" s="124" t="s">
        <v>339</v>
      </c>
      <c r="B272" s="99">
        <f t="shared" si="32"/>
        <v>-1.3195367865458194E-3</v>
      </c>
      <c r="C272" t="s">
        <v>228</v>
      </c>
      <c r="D272" s="99">
        <f t="shared" si="33"/>
        <v>3.3566721581548602E-2</v>
      </c>
      <c r="E272" s="123">
        <v>110557000</v>
      </c>
      <c r="F272" s="219">
        <v>43618</v>
      </c>
      <c r="G272" s="93">
        <v>43100</v>
      </c>
      <c r="H272" s="93">
        <v>2428</v>
      </c>
      <c r="I272" s="93">
        <v>5520</v>
      </c>
      <c r="J272" s="93">
        <v>2265</v>
      </c>
      <c r="K272" s="108">
        <f>(F272*138.66)*SUM(1,Macrogegevens!$C$4,0.5*Macrogegevens!$C$6,Macrogegevens!$C$8)</f>
        <v>6173266.9679160006</v>
      </c>
      <c r="L272" s="108">
        <f t="shared" si="34"/>
        <v>1533347.9500000002</v>
      </c>
      <c r="M272" s="108">
        <v>9872329.7394412961</v>
      </c>
      <c r="N272" s="108">
        <v>7409745.3395298682</v>
      </c>
      <c r="O272" s="108">
        <v>0</v>
      </c>
      <c r="P272" s="108">
        <f t="shared" si="35"/>
        <v>17282075.078971162</v>
      </c>
      <c r="Q272" s="108">
        <v>115828000</v>
      </c>
      <c r="R272" s="155">
        <v>517.01582654834874</v>
      </c>
      <c r="S272" s="122">
        <v>0.1285</v>
      </c>
      <c r="T272" s="122">
        <v>0.21429999999999999</v>
      </c>
      <c r="U272" s="122">
        <v>0.1714</v>
      </c>
      <c r="V272" s="122" t="s">
        <v>339</v>
      </c>
      <c r="W272" s="108">
        <v>3326800000</v>
      </c>
      <c r="X272" s="108">
        <v>534449999.99999994</v>
      </c>
      <c r="Y272" s="108">
        <v>552300000</v>
      </c>
      <c r="Z272" s="108">
        <f t="shared" si="36"/>
        <v>4274938</v>
      </c>
      <c r="AA272" s="108">
        <f t="shared" si="37"/>
        <v>2091968.5499999998</v>
      </c>
      <c r="AB272" s="108">
        <f t="shared" si="38"/>
        <v>7900254.5</v>
      </c>
      <c r="AC272" s="108">
        <f t="shared" si="39"/>
        <v>1533347.9500000002</v>
      </c>
    </row>
    <row r="273" spans="1:29" x14ac:dyDescent="0.2">
      <c r="A273" s="124" t="s">
        <v>369</v>
      </c>
      <c r="B273" s="99">
        <f t="shared" si="32"/>
        <v>-5.8007043712450801E-3</v>
      </c>
      <c r="C273" t="s">
        <v>689</v>
      </c>
      <c r="D273" s="99">
        <f t="shared" si="33"/>
        <v>2.0802377414561663E-2</v>
      </c>
      <c r="E273" s="123">
        <v>35729000</v>
      </c>
      <c r="F273" s="219">
        <v>19308</v>
      </c>
      <c r="G273" s="93">
        <v>18300</v>
      </c>
      <c r="H273" s="93">
        <v>1346</v>
      </c>
      <c r="I273" s="93">
        <v>3245</v>
      </c>
      <c r="J273" s="93">
        <v>1290</v>
      </c>
      <c r="K273" s="108">
        <f>(F273*138.66)*SUM(1,Macrogegevens!$C$4,0.5*Macrogegevens!$C$6,Macrogegevens!$C$8)</f>
        <v>2732666.2986960001</v>
      </c>
      <c r="L273" s="108">
        <f t="shared" si="34"/>
        <v>469481.85000000009</v>
      </c>
      <c r="M273" s="108">
        <v>3169500.5204429538</v>
      </c>
      <c r="N273" s="108">
        <v>2306207.2169961175</v>
      </c>
      <c r="O273" s="108">
        <v>0</v>
      </c>
      <c r="P273" s="108">
        <f t="shared" si="35"/>
        <v>5475707.7374390718</v>
      </c>
      <c r="Q273" s="108">
        <v>35428000</v>
      </c>
      <c r="R273" s="155">
        <v>1199.8939554612937</v>
      </c>
      <c r="S273" s="122">
        <v>0.1462</v>
      </c>
      <c r="T273" s="122">
        <v>0.2135</v>
      </c>
      <c r="U273" s="122">
        <v>0.1686</v>
      </c>
      <c r="V273" s="122" t="s">
        <v>369</v>
      </c>
      <c r="W273" s="108">
        <v>1563200000</v>
      </c>
      <c r="X273" s="108">
        <v>186550000</v>
      </c>
      <c r="Y273" s="108">
        <v>203000000</v>
      </c>
      <c r="Z273" s="108">
        <f t="shared" si="36"/>
        <v>2285398.4</v>
      </c>
      <c r="AA273" s="108">
        <f t="shared" si="37"/>
        <v>740542.25</v>
      </c>
      <c r="AB273" s="108">
        <f t="shared" si="38"/>
        <v>3495422.5</v>
      </c>
      <c r="AC273" s="108">
        <f t="shared" si="39"/>
        <v>469481.85000000009</v>
      </c>
    </row>
    <row r="274" spans="1:29" x14ac:dyDescent="0.2">
      <c r="A274" s="124" t="s">
        <v>475</v>
      </c>
      <c r="B274" s="99">
        <f t="shared" si="32"/>
        <v>1.8482013875045836E-3</v>
      </c>
      <c r="C274" t="s">
        <v>228</v>
      </c>
      <c r="D274" s="99">
        <f t="shared" si="33"/>
        <v>2.2298767222625089E-2</v>
      </c>
      <c r="E274" s="123">
        <v>106987000</v>
      </c>
      <c r="F274" s="219">
        <v>45149</v>
      </c>
      <c r="G274" s="93">
        <v>45900</v>
      </c>
      <c r="H274" s="93">
        <v>2758</v>
      </c>
      <c r="I274" s="93">
        <v>7240</v>
      </c>
      <c r="J274" s="93">
        <v>2635</v>
      </c>
      <c r="K274" s="108">
        <f>(F274*138.66)*SUM(1,Macrogegevens!$C$4,0.5*Macrogegevens!$C$6,Macrogegevens!$C$8)</f>
        <v>6389949.7990380004</v>
      </c>
      <c r="L274" s="108">
        <f t="shared" si="34"/>
        <v>1540266.5999999996</v>
      </c>
      <c r="M274" s="108">
        <v>6608044.3937533274</v>
      </c>
      <c r="N274" s="108">
        <v>4505237.6667575836</v>
      </c>
      <c r="O274" s="108">
        <v>0</v>
      </c>
      <c r="P274" s="108">
        <f t="shared" si="35"/>
        <v>11113282.060510911</v>
      </c>
      <c r="Q274" s="108">
        <v>109505000</v>
      </c>
      <c r="R274" s="155">
        <v>920.81973807714655</v>
      </c>
      <c r="S274" s="122">
        <v>0.1186</v>
      </c>
      <c r="T274" s="122">
        <v>0.2419</v>
      </c>
      <c r="U274" s="122">
        <v>0.1928</v>
      </c>
      <c r="V274" s="122" t="s">
        <v>475</v>
      </c>
      <c r="W274" s="108">
        <v>3267200000</v>
      </c>
      <c r="X274" s="108">
        <v>563500000</v>
      </c>
      <c r="Y274" s="108">
        <v>570150000</v>
      </c>
      <c r="Z274" s="108">
        <f t="shared" si="36"/>
        <v>3874899.2</v>
      </c>
      <c r="AA274" s="108">
        <f t="shared" si="37"/>
        <v>2462355.7000000002</v>
      </c>
      <c r="AB274" s="108">
        <f t="shared" si="38"/>
        <v>7877521.5</v>
      </c>
      <c r="AC274" s="108">
        <f t="shared" si="39"/>
        <v>1540266.5999999996</v>
      </c>
    </row>
    <row r="275" spans="1:29" x14ac:dyDescent="0.2">
      <c r="A275" s="124" t="s">
        <v>340</v>
      </c>
      <c r="B275" s="99">
        <f t="shared" si="32"/>
        <v>-2.0350020350020349E-4</v>
      </c>
      <c r="C275" t="s">
        <v>689</v>
      </c>
      <c r="D275" s="99">
        <f t="shared" si="33"/>
        <v>1.8272425249169437E-2</v>
      </c>
      <c r="E275" s="123">
        <v>20054000</v>
      </c>
      <c r="F275" s="219">
        <v>10920</v>
      </c>
      <c r="G275" s="93">
        <v>10900</v>
      </c>
      <c r="H275" s="93">
        <v>602</v>
      </c>
      <c r="I275" s="93">
        <v>1480</v>
      </c>
      <c r="J275" s="93">
        <v>580</v>
      </c>
      <c r="K275" s="108">
        <f>(F275*138.66)*SUM(1,Macrogegevens!$C$4,0.5*Macrogegevens!$C$6,Macrogegevens!$C$8)</f>
        <v>1545510.4610400002</v>
      </c>
      <c r="L275" s="108">
        <f t="shared" si="34"/>
        <v>516859.90000000008</v>
      </c>
      <c r="M275" s="108">
        <v>2321892.0423949817</v>
      </c>
      <c r="N275" s="108">
        <v>2086870.2735647513</v>
      </c>
      <c r="O275" s="108">
        <v>0</v>
      </c>
      <c r="P275" s="108">
        <f t="shared" si="35"/>
        <v>4408762.315959733</v>
      </c>
      <c r="Q275" s="108">
        <v>21488000</v>
      </c>
      <c r="R275" s="155">
        <v>3119.3140794223827</v>
      </c>
      <c r="S275" s="122">
        <v>0.12379999999999999</v>
      </c>
      <c r="T275" s="122">
        <v>0.15540000000000001</v>
      </c>
      <c r="U275" s="122">
        <v>0.1036</v>
      </c>
      <c r="V275" s="122" t="s">
        <v>340</v>
      </c>
      <c r="W275" s="108">
        <v>720800000</v>
      </c>
      <c r="X275" s="108">
        <v>111650000</v>
      </c>
      <c r="Y275" s="108">
        <v>122849999.99999999</v>
      </c>
      <c r="Z275" s="108">
        <f t="shared" si="36"/>
        <v>892350.39999999991</v>
      </c>
      <c r="AA275" s="108">
        <f t="shared" si="37"/>
        <v>300776.7</v>
      </c>
      <c r="AB275" s="108">
        <f t="shared" si="38"/>
        <v>1709987</v>
      </c>
      <c r="AC275" s="108">
        <f t="shared" si="39"/>
        <v>516859.90000000008</v>
      </c>
    </row>
    <row r="276" spans="1:29" x14ac:dyDescent="0.2">
      <c r="A276" s="124" t="s">
        <v>290</v>
      </c>
      <c r="B276" s="99">
        <f t="shared" si="32"/>
        <v>-2.4320609072644604E-3</v>
      </c>
      <c r="C276" t="s">
        <v>228</v>
      </c>
      <c r="D276" s="99">
        <f t="shared" si="33"/>
        <v>3.896933560477002E-2</v>
      </c>
      <c r="E276" s="123">
        <v>75962000</v>
      </c>
      <c r="F276" s="219">
        <v>37828</v>
      </c>
      <c r="G276" s="93">
        <v>37000</v>
      </c>
      <c r="H276" s="93">
        <v>2348</v>
      </c>
      <c r="I276" s="93">
        <v>5685</v>
      </c>
      <c r="J276" s="93">
        <v>2165</v>
      </c>
      <c r="K276" s="108">
        <f>(F276*138.66)*SUM(1,Macrogegevens!$C$4,0.5*Macrogegevens!$C$6,Macrogegevens!$C$8)</f>
        <v>5353806.7509360006</v>
      </c>
      <c r="L276" s="108">
        <f t="shared" si="34"/>
        <v>2004429.9</v>
      </c>
      <c r="M276" s="108">
        <v>8233592.8885025466</v>
      </c>
      <c r="N276" s="108">
        <v>4829624.2516372725</v>
      </c>
      <c r="O276" s="108">
        <v>0</v>
      </c>
      <c r="P276" s="108">
        <f t="shared" si="35"/>
        <v>13063217.140139818</v>
      </c>
      <c r="Q276" s="108">
        <v>78245000</v>
      </c>
      <c r="R276" s="155">
        <v>1702.0496224379719</v>
      </c>
      <c r="S276" s="122">
        <v>0.1024</v>
      </c>
      <c r="T276" s="122">
        <v>0.18870000000000001</v>
      </c>
      <c r="U276" s="122">
        <v>0.15040000000000001</v>
      </c>
      <c r="V276" s="122" t="s">
        <v>290</v>
      </c>
      <c r="W276" s="108">
        <v>2463600000</v>
      </c>
      <c r="X276" s="108">
        <v>563500000</v>
      </c>
      <c r="Y276" s="108">
        <v>601300000</v>
      </c>
      <c r="Z276" s="108">
        <f t="shared" si="36"/>
        <v>2522726.3999999999</v>
      </c>
      <c r="AA276" s="108">
        <f t="shared" si="37"/>
        <v>1967679.7000000002</v>
      </c>
      <c r="AB276" s="108">
        <f t="shared" si="38"/>
        <v>6494836</v>
      </c>
      <c r="AC276" s="108">
        <f t="shared" si="39"/>
        <v>2004429.9</v>
      </c>
    </row>
    <row r="277" spans="1:29" x14ac:dyDescent="0.2">
      <c r="A277" s="125" t="s">
        <v>476</v>
      </c>
      <c r="B277" s="99">
        <f t="shared" si="32"/>
        <v>1.0122801194822437E-2</v>
      </c>
      <c r="C277" t="s">
        <v>621</v>
      </c>
      <c r="D277" s="99">
        <f t="shared" si="33"/>
        <v>1.6677461139896373E-2</v>
      </c>
      <c r="E277" s="123">
        <v>151812000</v>
      </c>
      <c r="F277" s="219">
        <v>48208</v>
      </c>
      <c r="G277" s="93">
        <v>52600</v>
      </c>
      <c r="H277" s="93">
        <v>3088</v>
      </c>
      <c r="I277" s="93">
        <v>7135</v>
      </c>
      <c r="J277" s="93">
        <v>2985</v>
      </c>
      <c r="K277" s="108">
        <f>(F277*138.66)*SUM(1,Macrogegevens!$C$4,0.5*Macrogegevens!$C$6,Macrogegevens!$C$8)</f>
        <v>6822890.8704960011</v>
      </c>
      <c r="L277" s="108">
        <f t="shared" si="34"/>
        <v>947507.5</v>
      </c>
      <c r="M277" s="108">
        <v>9293085.3824077379</v>
      </c>
      <c r="N277" s="108">
        <v>6889262.9487793492</v>
      </c>
      <c r="O277" s="108">
        <v>0</v>
      </c>
      <c r="P277" s="108">
        <f t="shared" si="35"/>
        <v>16182348.331187088</v>
      </c>
      <c r="Q277" s="108">
        <v>151908000</v>
      </c>
      <c r="R277" s="155">
        <v>3309.9502913952692</v>
      </c>
      <c r="S277" s="122">
        <v>0.1179</v>
      </c>
      <c r="T277" s="122">
        <v>0.25280000000000002</v>
      </c>
      <c r="U277" s="122">
        <v>0.2152</v>
      </c>
      <c r="V277" s="122" t="s">
        <v>476</v>
      </c>
      <c r="W277" s="108">
        <v>3637600000</v>
      </c>
      <c r="X277" s="108">
        <v>1155350000</v>
      </c>
      <c r="Y277" s="108">
        <v>1166900000</v>
      </c>
      <c r="Z277" s="108">
        <f t="shared" si="36"/>
        <v>4288730.4000000004</v>
      </c>
      <c r="AA277" s="108">
        <f t="shared" si="37"/>
        <v>5431893.5999999996</v>
      </c>
      <c r="AB277" s="108">
        <f t="shared" si="38"/>
        <v>10668131.5</v>
      </c>
      <c r="AC277" s="108">
        <f t="shared" si="39"/>
        <v>947507.5</v>
      </c>
    </row>
    <row r="278" spans="1:29" x14ac:dyDescent="0.2">
      <c r="A278" s="124" t="s">
        <v>594</v>
      </c>
      <c r="B278" s="99">
        <f t="shared" si="32"/>
        <v>-3.7314434511825185E-3</v>
      </c>
      <c r="C278" t="s">
        <v>228</v>
      </c>
      <c r="D278" s="99">
        <f t="shared" si="33"/>
        <v>4.4860627177700348E-2</v>
      </c>
      <c r="E278" s="123">
        <v>42948000</v>
      </c>
      <c r="F278" s="219">
        <v>20695</v>
      </c>
      <c r="G278" s="93">
        <v>20000</v>
      </c>
      <c r="H278" s="93">
        <v>1148</v>
      </c>
      <c r="I278" s="93">
        <v>2470</v>
      </c>
      <c r="J278" s="93">
        <v>1045</v>
      </c>
      <c r="K278" s="108">
        <f>(F278*138.66)*SUM(1,Macrogegevens!$C$4,0.5*Macrogegevens!$C$6,Macrogegevens!$C$8)</f>
        <v>2928968.7720900001</v>
      </c>
      <c r="L278" s="108">
        <f t="shared" si="34"/>
        <v>1119916.5000000002</v>
      </c>
      <c r="M278" s="108">
        <v>4161680.3704516608</v>
      </c>
      <c r="N278" s="108">
        <v>3167330.9453463396</v>
      </c>
      <c r="O278" s="108">
        <v>0</v>
      </c>
      <c r="P278" s="108">
        <f t="shared" si="35"/>
        <v>7329011.3157980004</v>
      </c>
      <c r="Q278" s="108">
        <v>46107000</v>
      </c>
      <c r="R278" s="155">
        <v>-457.92462570986061</v>
      </c>
      <c r="S278" s="122">
        <v>0.11749999999999999</v>
      </c>
      <c r="T278" s="122">
        <v>0.13070000000000001</v>
      </c>
      <c r="U278" s="122">
        <v>0.10829999999999999</v>
      </c>
      <c r="V278" s="122" t="s">
        <v>594</v>
      </c>
      <c r="W278" s="108">
        <v>1449200000</v>
      </c>
      <c r="X278" s="108">
        <v>192150000</v>
      </c>
      <c r="Y278" s="108">
        <v>192150000</v>
      </c>
      <c r="Z278" s="108">
        <f t="shared" si="36"/>
        <v>1702809.9999999998</v>
      </c>
      <c r="AA278" s="108">
        <f t="shared" si="37"/>
        <v>459238.5</v>
      </c>
      <c r="AB278" s="108">
        <f t="shared" si="38"/>
        <v>3281965</v>
      </c>
      <c r="AC278" s="108">
        <f t="shared" si="39"/>
        <v>1119916.5000000002</v>
      </c>
    </row>
    <row r="279" spans="1:29" x14ac:dyDescent="0.2">
      <c r="A279" s="124" t="s">
        <v>595</v>
      </c>
      <c r="B279" s="99">
        <f t="shared" si="32"/>
        <v>1.983536066681071E-3</v>
      </c>
      <c r="C279" t="s">
        <v>621</v>
      </c>
      <c r="D279" s="99">
        <f t="shared" si="33"/>
        <v>2.9274326553051126E-2</v>
      </c>
      <c r="E279" s="123">
        <v>159726000</v>
      </c>
      <c r="F279" s="219">
        <v>57081</v>
      </c>
      <c r="G279" s="93">
        <v>58100</v>
      </c>
      <c r="H279" s="93">
        <v>3638</v>
      </c>
      <c r="I279" s="93">
        <v>8525</v>
      </c>
      <c r="J279" s="93">
        <v>3425</v>
      </c>
      <c r="K279" s="108">
        <f>(F279*138.66)*SUM(1,Macrogegevens!$C$4,0.5*Macrogegevens!$C$6,Macrogegevens!$C$8)</f>
        <v>8078688.885222001</v>
      </c>
      <c r="L279" s="108">
        <f t="shared" si="34"/>
        <v>2158345.6</v>
      </c>
      <c r="M279" s="108">
        <v>16788047.168039463</v>
      </c>
      <c r="N279" s="108">
        <v>10273279.968240481</v>
      </c>
      <c r="O279" s="108">
        <v>0</v>
      </c>
      <c r="P279" s="108">
        <f t="shared" si="35"/>
        <v>27061327.136279944</v>
      </c>
      <c r="Q279" s="108">
        <v>171342647</v>
      </c>
      <c r="R279" s="155">
        <v>966.72824748243136</v>
      </c>
      <c r="S279" s="122">
        <v>0.13880000000000001</v>
      </c>
      <c r="T279" s="122">
        <v>0.1663</v>
      </c>
      <c r="U279" s="122">
        <v>0.1409</v>
      </c>
      <c r="V279" s="122" t="s">
        <v>595</v>
      </c>
      <c r="W279" s="108">
        <v>3672400000</v>
      </c>
      <c r="X279" s="108">
        <v>1319500000</v>
      </c>
      <c r="Y279" s="108">
        <v>1350300000</v>
      </c>
      <c r="Z279" s="108">
        <f t="shared" si="36"/>
        <v>5097291.2</v>
      </c>
      <c r="AA279" s="108">
        <f t="shared" si="37"/>
        <v>4096901.1999999997</v>
      </c>
      <c r="AB279" s="108">
        <f t="shared" si="38"/>
        <v>11352538</v>
      </c>
      <c r="AC279" s="108">
        <f t="shared" si="39"/>
        <v>2158345.6</v>
      </c>
    </row>
    <row r="280" spans="1:29" x14ac:dyDescent="0.2">
      <c r="A280" s="124" t="s">
        <v>553</v>
      </c>
      <c r="B280" s="99">
        <f t="shared" si="32"/>
        <v>1.5005247499848213E-3</v>
      </c>
      <c r="C280" t="s">
        <v>621</v>
      </c>
      <c r="D280" s="99">
        <f t="shared" si="33"/>
        <v>3.0828316379489309E-2</v>
      </c>
      <c r="E280" s="123">
        <v>231522000</v>
      </c>
      <c r="F280" s="219">
        <v>76862</v>
      </c>
      <c r="G280" s="93">
        <v>77900</v>
      </c>
      <c r="H280" s="93">
        <v>4817</v>
      </c>
      <c r="I280" s="93">
        <v>11225</v>
      </c>
      <c r="J280" s="93">
        <v>4520</v>
      </c>
      <c r="K280" s="108">
        <f>(F280*138.66)*SUM(1,Macrogegevens!$C$4,0.5*Macrogegevens!$C$6,Macrogegevens!$C$8)</f>
        <v>10878298.997844001</v>
      </c>
      <c r="L280" s="108">
        <f t="shared" si="34"/>
        <v>5288090.0350000001</v>
      </c>
      <c r="M280" s="108">
        <v>22990155.05133947</v>
      </c>
      <c r="N280" s="108">
        <v>11421759.11823401</v>
      </c>
      <c r="O280" s="108">
        <v>0</v>
      </c>
      <c r="P280" s="108">
        <f t="shared" si="35"/>
        <v>34411914.169573478</v>
      </c>
      <c r="Q280" s="108">
        <v>242382000</v>
      </c>
      <c r="R280" s="155">
        <v>839.54309878039351</v>
      </c>
      <c r="S280" s="122">
        <v>0.10757</v>
      </c>
      <c r="T280" s="122">
        <v>0.15240000000000001</v>
      </c>
      <c r="U280" s="122">
        <v>0.10763</v>
      </c>
      <c r="V280" s="122" t="s">
        <v>553</v>
      </c>
      <c r="W280" s="108">
        <v>5456000000</v>
      </c>
      <c r="X280" s="108">
        <v>1366400000</v>
      </c>
      <c r="Y280" s="108">
        <v>1439550000</v>
      </c>
      <c r="Z280" s="108">
        <f t="shared" si="36"/>
        <v>5869019.2000000002</v>
      </c>
      <c r="AA280" s="108">
        <f t="shared" si="37"/>
        <v>3631781.2650000006</v>
      </c>
      <c r="AB280" s="108">
        <f t="shared" si="38"/>
        <v>14788890.5</v>
      </c>
      <c r="AC280" s="108">
        <f t="shared" si="39"/>
        <v>5288090.0350000001</v>
      </c>
    </row>
    <row r="281" spans="1:29" x14ac:dyDescent="0.2">
      <c r="A281" s="124" t="s">
        <v>477</v>
      </c>
      <c r="B281" s="99">
        <f t="shared" si="32"/>
        <v>3.9822922280382542E-3</v>
      </c>
      <c r="C281" t="s">
        <v>621</v>
      </c>
      <c r="D281" s="99">
        <f t="shared" si="33"/>
        <v>2.162318383647303E-2</v>
      </c>
      <c r="E281" s="123">
        <v>3289856000</v>
      </c>
      <c r="F281" s="219">
        <v>624710</v>
      </c>
      <c r="G281" s="93">
        <v>647100</v>
      </c>
      <c r="H281" s="93">
        <v>38061</v>
      </c>
      <c r="I281" s="93">
        <v>92245</v>
      </c>
      <c r="J281" s="93">
        <v>36415</v>
      </c>
      <c r="K281" s="108">
        <f>(F281*185)*SUM(1,Macrogegevens!$C$4,0.5*Macrogegevens!$C$6,Macrogegevens!$C$8)</f>
        <v>117963676.94500002</v>
      </c>
      <c r="L281" s="108">
        <f t="shared" si="34"/>
        <v>0</v>
      </c>
      <c r="M281" s="108">
        <v>153032142.44216892</v>
      </c>
      <c r="N281" s="108">
        <v>81191464.582380787</v>
      </c>
      <c r="O281" s="108">
        <v>98008092.129970387</v>
      </c>
      <c r="P281" s="108">
        <f t="shared" si="35"/>
        <v>332231699.15452009</v>
      </c>
      <c r="Q281" s="108">
        <v>3260522000</v>
      </c>
      <c r="R281" s="155">
        <v>3226.1903778922388</v>
      </c>
      <c r="S281" s="122">
        <v>0.128</v>
      </c>
      <c r="T281" s="122">
        <v>0.31859999999999999</v>
      </c>
      <c r="U281" s="122">
        <v>0.25290000000000001</v>
      </c>
      <c r="V281" s="122" t="s">
        <v>477</v>
      </c>
      <c r="W281" s="108">
        <v>36435600000</v>
      </c>
      <c r="X281" s="108">
        <v>20007050000</v>
      </c>
      <c r="Y281" s="108">
        <v>20085450000</v>
      </c>
      <c r="Z281" s="108">
        <f t="shared" si="36"/>
        <v>46637568.000000007</v>
      </c>
      <c r="AA281" s="108">
        <f t="shared" si="37"/>
        <v>114538564.34999999</v>
      </c>
      <c r="AB281" s="108">
        <f t="shared" si="38"/>
        <v>136985299</v>
      </c>
      <c r="AC281" s="108">
        <f t="shared" si="39"/>
        <v>-24190833.349999994</v>
      </c>
    </row>
    <row r="282" spans="1:29" x14ac:dyDescent="0.2">
      <c r="A282" s="124" t="s">
        <v>341</v>
      </c>
      <c r="B282" s="99">
        <f t="shared" si="32"/>
        <v>-7.3583517292126564E-4</v>
      </c>
      <c r="C282" t="s">
        <v>689</v>
      </c>
      <c r="D282" s="99">
        <f t="shared" si="33"/>
        <v>2.7027027027027029E-2</v>
      </c>
      <c r="E282" s="123">
        <v>4264268</v>
      </c>
      <c r="F282" s="219">
        <v>1510</v>
      </c>
      <c r="G282" s="93">
        <v>1500</v>
      </c>
      <c r="H282" s="93">
        <v>111</v>
      </c>
      <c r="I282" s="93">
        <v>275</v>
      </c>
      <c r="J282" s="93">
        <v>105</v>
      </c>
      <c r="K282" s="108">
        <f>(F282*138.66)*SUM(1,Macrogegevens!$C$4,0.5*Macrogegevens!$C$6,Macrogegevens!$C$8)</f>
        <v>213710.69562000004</v>
      </c>
      <c r="L282" s="108">
        <f t="shared" si="34"/>
        <v>197791.1</v>
      </c>
      <c r="M282" s="108">
        <v>215482.18649525696</v>
      </c>
      <c r="N282" s="108">
        <v>178457.49173591551</v>
      </c>
      <c r="O282" s="108">
        <v>0</v>
      </c>
      <c r="P282" s="108">
        <f t="shared" si="35"/>
        <v>393939.6782311725</v>
      </c>
      <c r="Q282" s="108">
        <v>3440828</v>
      </c>
      <c r="R282" s="155">
        <v>-3867.5585284280937</v>
      </c>
      <c r="S282" s="122">
        <v>0.10290000000000001</v>
      </c>
      <c r="T282" s="122">
        <v>0.1205</v>
      </c>
      <c r="U282" s="122">
        <v>9.7000000000000003E-2</v>
      </c>
      <c r="V282" s="122" t="s">
        <v>341</v>
      </c>
      <c r="W282" s="108">
        <v>227600000</v>
      </c>
      <c r="X282" s="108">
        <v>17500000</v>
      </c>
      <c r="Y282" s="108">
        <v>17500000</v>
      </c>
      <c r="Z282" s="108">
        <f t="shared" si="36"/>
        <v>234200.4</v>
      </c>
      <c r="AA282" s="108">
        <f t="shared" si="37"/>
        <v>38062.5</v>
      </c>
      <c r="AB282" s="108">
        <f t="shared" si="38"/>
        <v>470054</v>
      </c>
      <c r="AC282" s="108">
        <f t="shared" si="39"/>
        <v>197791.1</v>
      </c>
    </row>
    <row r="283" spans="1:29" x14ac:dyDescent="0.2">
      <c r="A283" s="124" t="s">
        <v>554</v>
      </c>
      <c r="B283" s="99">
        <f t="shared" si="32"/>
        <v>-3.6777198137154963E-3</v>
      </c>
      <c r="C283" t="s">
        <v>228</v>
      </c>
      <c r="D283" s="99">
        <f t="shared" si="33"/>
        <v>4.352741661955907E-2</v>
      </c>
      <c r="E283" s="123">
        <v>42726340</v>
      </c>
      <c r="F283" s="219">
        <v>22236</v>
      </c>
      <c r="G283" s="93">
        <v>21500</v>
      </c>
      <c r="H283" s="93">
        <v>1769</v>
      </c>
      <c r="I283" s="93">
        <v>3965</v>
      </c>
      <c r="J283" s="93">
        <v>1615</v>
      </c>
      <c r="K283" s="108">
        <f>(F283*138.66)*SUM(1,Macrogegevens!$C$4,0.5*Macrogegevens!$C$6,Macrogegevens!$C$8)</f>
        <v>3147066.9058320001</v>
      </c>
      <c r="L283" s="108">
        <f t="shared" si="34"/>
        <v>1618397.6</v>
      </c>
      <c r="M283" s="108">
        <v>4013808.2939184285</v>
      </c>
      <c r="N283" s="108">
        <v>3652332.9887137241</v>
      </c>
      <c r="O283" s="108">
        <v>0</v>
      </c>
      <c r="P283" s="108">
        <f t="shared" si="35"/>
        <v>7666141.2826321525</v>
      </c>
      <c r="Q283" s="108">
        <v>45102912</v>
      </c>
      <c r="R283" s="155">
        <v>-602.82867817114391</v>
      </c>
      <c r="S283" s="122">
        <v>0.10780000000000001</v>
      </c>
      <c r="T283" s="122">
        <v>0.13420000000000001</v>
      </c>
      <c r="U283" s="122">
        <v>0.1108</v>
      </c>
      <c r="V283" s="122" t="s">
        <v>554</v>
      </c>
      <c r="W283" s="108">
        <v>1812800000</v>
      </c>
      <c r="X283" s="108">
        <v>258299999.99999997</v>
      </c>
      <c r="Y283" s="108">
        <v>310800000</v>
      </c>
      <c r="Z283" s="108">
        <f t="shared" si="36"/>
        <v>1954198.4</v>
      </c>
      <c r="AA283" s="108">
        <f t="shared" si="37"/>
        <v>691005</v>
      </c>
      <c r="AB283" s="108">
        <f t="shared" si="38"/>
        <v>4263601</v>
      </c>
      <c r="AC283" s="108">
        <f t="shared" si="39"/>
        <v>1618397.6</v>
      </c>
    </row>
    <row r="284" spans="1:29" x14ac:dyDescent="0.2">
      <c r="A284" s="124" t="s">
        <v>418</v>
      </c>
      <c r="B284" s="99">
        <f t="shared" si="32"/>
        <v>1.3924422666454668E-3</v>
      </c>
      <c r="C284" t="s">
        <v>228</v>
      </c>
      <c r="D284" s="99">
        <f t="shared" si="33"/>
        <v>2.8420172750069656E-2</v>
      </c>
      <c r="E284" s="123">
        <v>93799493</v>
      </c>
      <c r="F284" s="219">
        <v>46122</v>
      </c>
      <c r="G284" s="93">
        <v>46700</v>
      </c>
      <c r="H284" s="93">
        <v>3589</v>
      </c>
      <c r="I284" s="93">
        <v>8200</v>
      </c>
      <c r="J284" s="93">
        <v>3385</v>
      </c>
      <c r="K284" s="108">
        <f>(F284*138.66)*SUM(1,Macrogegevens!$C$4,0.5*Macrogegevens!$C$6,Macrogegevens!$C$8)</f>
        <v>6527658.7439640006</v>
      </c>
      <c r="L284" s="108">
        <f t="shared" si="34"/>
        <v>2472934.4500000002</v>
      </c>
      <c r="M284" s="108">
        <v>7686110.8581435373</v>
      </c>
      <c r="N284" s="108">
        <v>5266866.3879676405</v>
      </c>
      <c r="O284" s="108">
        <v>0</v>
      </c>
      <c r="P284" s="108">
        <f t="shared" si="35"/>
        <v>12952977.246111177</v>
      </c>
      <c r="Q284" s="108">
        <v>97054692</v>
      </c>
      <c r="R284" s="161">
        <v>623.71522764980932</v>
      </c>
      <c r="S284" s="122">
        <v>0.12509999999999999</v>
      </c>
      <c r="T284" s="122">
        <v>0.16289999999999999</v>
      </c>
      <c r="U284" s="122">
        <v>0.1249</v>
      </c>
      <c r="V284" s="122" t="s">
        <v>418</v>
      </c>
      <c r="W284" s="108">
        <v>3663200000</v>
      </c>
      <c r="X284" s="108">
        <v>651000000</v>
      </c>
      <c r="Y284" s="108">
        <v>727650000</v>
      </c>
      <c r="Z284" s="108">
        <f t="shared" si="36"/>
        <v>4582663.2</v>
      </c>
      <c r="AA284" s="108">
        <f t="shared" si="37"/>
        <v>1969313.8499999996</v>
      </c>
      <c r="AB284" s="108">
        <f t="shared" si="38"/>
        <v>9024911.5</v>
      </c>
      <c r="AC284" s="108">
        <f t="shared" si="39"/>
        <v>2472934.4500000002</v>
      </c>
    </row>
    <row r="285" spans="1:29" x14ac:dyDescent="0.2">
      <c r="A285" s="124" t="s">
        <v>342</v>
      </c>
      <c r="B285" s="99">
        <f t="shared" si="32"/>
        <v>-1.4581510644502771E-3</v>
      </c>
      <c r="C285" t="s">
        <v>689</v>
      </c>
      <c r="D285" s="99">
        <f t="shared" si="33"/>
        <v>3.3527696793002916E-2</v>
      </c>
      <c r="E285" s="123">
        <v>14523471</v>
      </c>
      <c r="F285" s="219">
        <v>9525</v>
      </c>
      <c r="G285" s="93">
        <v>9400</v>
      </c>
      <c r="H285" s="93">
        <v>686</v>
      </c>
      <c r="I285" s="93">
        <v>1655</v>
      </c>
      <c r="J285" s="93">
        <v>640</v>
      </c>
      <c r="K285" s="108">
        <f>(F285*138.66)*SUM(1,Macrogegevens!$C$4,0.5*Macrogegevens!$C$6,Macrogegevens!$C$8)</f>
        <v>1348075.7455500001</v>
      </c>
      <c r="L285" s="108">
        <f t="shared" si="34"/>
        <v>763181</v>
      </c>
      <c r="M285" s="108">
        <v>2145475.742617602</v>
      </c>
      <c r="N285" s="108">
        <v>774275.91606174933</v>
      </c>
      <c r="O285" s="108">
        <v>0</v>
      </c>
      <c r="P285" s="108">
        <f t="shared" si="35"/>
        <v>2919751.6586793512</v>
      </c>
      <c r="Q285" s="108">
        <v>16741535</v>
      </c>
      <c r="R285" s="155">
        <v>-500.85873765564622</v>
      </c>
      <c r="S285" s="122">
        <v>0.10100000000000001</v>
      </c>
      <c r="T285" s="122">
        <v>0.115</v>
      </c>
      <c r="U285" s="122">
        <v>9.7100000000000006E-2</v>
      </c>
      <c r="V285" s="122" t="s">
        <v>342</v>
      </c>
      <c r="W285" s="108">
        <v>763600000</v>
      </c>
      <c r="X285" s="108">
        <v>109550000</v>
      </c>
      <c r="Y285" s="108">
        <v>118999999.99999999</v>
      </c>
      <c r="Z285" s="108">
        <f t="shared" si="36"/>
        <v>771236</v>
      </c>
      <c r="AA285" s="108">
        <f t="shared" si="37"/>
        <v>241531.5</v>
      </c>
      <c r="AB285" s="108">
        <f t="shared" si="38"/>
        <v>1775948.5</v>
      </c>
      <c r="AC285" s="108">
        <f t="shared" si="39"/>
        <v>763181</v>
      </c>
    </row>
    <row r="286" spans="1:29" x14ac:dyDescent="0.2">
      <c r="A286" s="124" t="s">
        <v>478</v>
      </c>
      <c r="B286" s="99">
        <f t="shared" si="32"/>
        <v>-5.1035382122002033E-4</v>
      </c>
      <c r="C286" t="s">
        <v>621</v>
      </c>
      <c r="D286" s="99">
        <f t="shared" si="33"/>
        <v>2.128968742308639E-2</v>
      </c>
      <c r="E286" s="123">
        <v>288401000</v>
      </c>
      <c r="F286" s="219">
        <v>76853</v>
      </c>
      <c r="G286" s="93">
        <v>76500</v>
      </c>
      <c r="H286" s="93">
        <v>4063</v>
      </c>
      <c r="I286" s="93">
        <v>10245</v>
      </c>
      <c r="J286" s="93">
        <v>3890</v>
      </c>
      <c r="K286" s="108">
        <f>(F286*138.66)*SUM(1,Macrogegevens!$C$4,0.5*Macrogegevens!$C$6,Macrogegevens!$C$8)</f>
        <v>10877025.225486003</v>
      </c>
      <c r="L286" s="108">
        <f t="shared" si="34"/>
        <v>1497102</v>
      </c>
      <c r="M286" s="108">
        <v>16868904.633165739</v>
      </c>
      <c r="N286" s="108">
        <v>8146618.0100529855</v>
      </c>
      <c r="O286" s="108">
        <v>0</v>
      </c>
      <c r="P286" s="108">
        <f t="shared" si="35"/>
        <v>25015522.643218726</v>
      </c>
      <c r="Q286" s="108">
        <v>272883000</v>
      </c>
      <c r="R286" s="155">
        <v>2968.728908886389</v>
      </c>
      <c r="S286" s="122">
        <v>0.125</v>
      </c>
      <c r="T286" s="122">
        <v>0.23499999999999999</v>
      </c>
      <c r="U286" s="122">
        <v>0.191</v>
      </c>
      <c r="V286" s="122" t="s">
        <v>478</v>
      </c>
      <c r="W286" s="108">
        <v>4268000000</v>
      </c>
      <c r="X286" s="108">
        <v>1183350000</v>
      </c>
      <c r="Y286" s="108">
        <v>1207850000</v>
      </c>
      <c r="Z286" s="108">
        <f t="shared" si="36"/>
        <v>5335000</v>
      </c>
      <c r="AA286" s="108">
        <f t="shared" si="37"/>
        <v>5087866</v>
      </c>
      <c r="AB286" s="108">
        <f t="shared" si="38"/>
        <v>11919968</v>
      </c>
      <c r="AC286" s="108">
        <f t="shared" si="39"/>
        <v>1497102</v>
      </c>
    </row>
    <row r="287" spans="1:29" x14ac:dyDescent="0.2">
      <c r="A287" s="124" t="s">
        <v>268</v>
      </c>
      <c r="B287" s="99">
        <f t="shared" si="32"/>
        <v>-3.468484631024997E-3</v>
      </c>
      <c r="C287" t="s">
        <v>228</v>
      </c>
      <c r="D287" s="99">
        <f t="shared" si="33"/>
        <v>2.3809523809523808E-2</v>
      </c>
      <c r="E287" s="123">
        <v>5901752</v>
      </c>
      <c r="F287" s="219">
        <v>929</v>
      </c>
      <c r="G287" s="93">
        <v>900</v>
      </c>
      <c r="H287" s="93">
        <v>105</v>
      </c>
      <c r="I287" s="93">
        <v>245</v>
      </c>
      <c r="J287" s="93">
        <v>100</v>
      </c>
      <c r="K287" s="108">
        <f>(F287*138.66)*SUM(1,Macrogegevens!$C$4,0.5*Macrogegevens!$C$6,Macrogegevens!$C$8)</f>
        <v>131481.61339800002</v>
      </c>
      <c r="L287" s="108">
        <f t="shared" si="34"/>
        <v>198349.6</v>
      </c>
      <c r="M287" s="108">
        <v>13368.966484888368</v>
      </c>
      <c r="N287" s="108">
        <v>112980.46485714091</v>
      </c>
      <c r="O287" s="108">
        <v>0</v>
      </c>
      <c r="P287" s="108">
        <f t="shared" si="35"/>
        <v>126349.43134202927</v>
      </c>
      <c r="Q287" s="108">
        <v>5597232</v>
      </c>
      <c r="R287" s="155">
        <v>4514.8619957537157</v>
      </c>
      <c r="S287" s="122">
        <v>0.10290000000000001</v>
      </c>
      <c r="T287" s="122">
        <v>0.1734</v>
      </c>
      <c r="U287" s="122">
        <v>0.13950000000000001</v>
      </c>
      <c r="V287" s="122" t="s">
        <v>268</v>
      </c>
      <c r="W287" s="108">
        <v>239200000</v>
      </c>
      <c r="X287" s="108">
        <v>34650000</v>
      </c>
      <c r="Y287" s="108">
        <v>36400000</v>
      </c>
      <c r="Z287" s="108">
        <f t="shared" si="36"/>
        <v>246136.8</v>
      </c>
      <c r="AA287" s="108">
        <f t="shared" si="37"/>
        <v>110861.1</v>
      </c>
      <c r="AB287" s="108">
        <f t="shared" si="38"/>
        <v>555347.5</v>
      </c>
      <c r="AC287" s="108">
        <f t="shared" si="39"/>
        <v>198349.6</v>
      </c>
    </row>
    <row r="288" spans="1:29" x14ac:dyDescent="0.2">
      <c r="A288" s="124" t="s">
        <v>555</v>
      </c>
      <c r="B288" s="99">
        <f t="shared" si="32"/>
        <v>1.6896515919538602E-3</v>
      </c>
      <c r="C288" t="s">
        <v>228</v>
      </c>
      <c r="D288" s="99">
        <f t="shared" si="33"/>
        <v>4.5209903121636169E-2</v>
      </c>
      <c r="E288" s="123">
        <v>50445000</v>
      </c>
      <c r="F288" s="219">
        <v>23542</v>
      </c>
      <c r="G288" s="93">
        <v>23900</v>
      </c>
      <c r="H288" s="93">
        <v>1858</v>
      </c>
      <c r="I288" s="93">
        <v>4430</v>
      </c>
      <c r="J288" s="93">
        <v>1690</v>
      </c>
      <c r="K288" s="108">
        <f>(F288*138.66)*SUM(1,Macrogegevens!$C$4,0.5*Macrogegevens!$C$6,Macrogegevens!$C$8)</f>
        <v>3331905.4280040003</v>
      </c>
      <c r="L288" s="108">
        <f t="shared" si="34"/>
        <v>1542902</v>
      </c>
      <c r="M288" s="108">
        <v>4447350.9761195835</v>
      </c>
      <c r="N288" s="108">
        <v>2754131.8313598861</v>
      </c>
      <c r="O288" s="108">
        <v>0</v>
      </c>
      <c r="P288" s="108">
        <f t="shared" si="35"/>
        <v>7201482.8074794691</v>
      </c>
      <c r="Q288" s="108">
        <v>51208000</v>
      </c>
      <c r="R288" s="155">
        <v>1060.0669827323736</v>
      </c>
      <c r="S288" s="122">
        <v>0.1115</v>
      </c>
      <c r="T288" s="122">
        <v>0.1615</v>
      </c>
      <c r="U288" s="122">
        <v>0.1285</v>
      </c>
      <c r="V288" s="122" t="s">
        <v>555</v>
      </c>
      <c r="W288" s="108">
        <v>1940800000</v>
      </c>
      <c r="X288" s="108">
        <v>321650000</v>
      </c>
      <c r="Y288" s="108">
        <v>349650000</v>
      </c>
      <c r="Z288" s="108">
        <f t="shared" si="36"/>
        <v>2163992</v>
      </c>
      <c r="AA288" s="108">
        <f t="shared" si="37"/>
        <v>968765.00000000012</v>
      </c>
      <c r="AB288" s="108">
        <f t="shared" si="38"/>
        <v>4675659</v>
      </c>
      <c r="AC288" s="108">
        <f t="shared" si="39"/>
        <v>1542902</v>
      </c>
    </row>
    <row r="289" spans="1:29" x14ac:dyDescent="0.2">
      <c r="A289" s="124" t="s">
        <v>596</v>
      </c>
      <c r="B289" s="99">
        <f t="shared" si="32"/>
        <v>-5.0874267880808861E-3</v>
      </c>
      <c r="C289" t="s">
        <v>689</v>
      </c>
      <c r="D289" s="99">
        <f t="shared" si="33"/>
        <v>4.7440699126092382E-2</v>
      </c>
      <c r="E289" s="123">
        <v>26067686</v>
      </c>
      <c r="F289" s="219">
        <v>12995</v>
      </c>
      <c r="G289" s="93">
        <v>12400</v>
      </c>
      <c r="H289" s="93">
        <v>801</v>
      </c>
      <c r="I289" s="93">
        <v>1650</v>
      </c>
      <c r="J289" s="93">
        <v>725</v>
      </c>
      <c r="K289" s="108">
        <f>(F289*138.66)*SUM(1,Macrogegevens!$C$4,0.5*Macrogegevens!$C$6,Macrogegevens!$C$8)</f>
        <v>1839185.7546900003</v>
      </c>
      <c r="L289" s="108">
        <f t="shared" si="34"/>
        <v>236262.95000000024</v>
      </c>
      <c r="M289" s="108">
        <v>2857036.3458509329</v>
      </c>
      <c r="N289" s="108">
        <v>2851390.8271264252</v>
      </c>
      <c r="O289" s="108">
        <v>0</v>
      </c>
      <c r="P289" s="108">
        <f t="shared" si="35"/>
        <v>5708427.1729773581</v>
      </c>
      <c r="Q289" s="108">
        <v>25088541</v>
      </c>
      <c r="R289" s="155">
        <v>731.5103008744627</v>
      </c>
      <c r="S289" s="122">
        <v>0.15179999999999999</v>
      </c>
      <c r="T289" s="122">
        <v>0.19670000000000001</v>
      </c>
      <c r="U289" s="122">
        <v>0.16750000000000001</v>
      </c>
      <c r="V289" s="122" t="s">
        <v>596</v>
      </c>
      <c r="W289" s="108">
        <v>882000000</v>
      </c>
      <c r="X289" s="108">
        <v>80150000</v>
      </c>
      <c r="Y289" s="108">
        <v>91700000</v>
      </c>
      <c r="Z289" s="108">
        <f t="shared" si="36"/>
        <v>1338875.9999999998</v>
      </c>
      <c r="AA289" s="108">
        <f t="shared" si="37"/>
        <v>311252.55</v>
      </c>
      <c r="AB289" s="108">
        <f t="shared" si="38"/>
        <v>1886391.5</v>
      </c>
      <c r="AC289" s="108">
        <f t="shared" si="39"/>
        <v>236262.95000000024</v>
      </c>
    </row>
    <row r="290" spans="1:29" x14ac:dyDescent="0.2">
      <c r="A290" s="124" t="s">
        <v>503</v>
      </c>
      <c r="B290" s="99">
        <f t="shared" si="32"/>
        <v>3.8903346213495257E-3</v>
      </c>
      <c r="C290" t="s">
        <v>228</v>
      </c>
      <c r="D290" s="99">
        <f t="shared" si="33"/>
        <v>3.1462585034013606E-2</v>
      </c>
      <c r="E290" s="123">
        <v>94487000</v>
      </c>
      <c r="F290" s="219">
        <v>33816</v>
      </c>
      <c r="G290" s="93">
        <v>35000</v>
      </c>
      <c r="H290" s="93">
        <v>2940</v>
      </c>
      <c r="I290" s="93">
        <v>6960</v>
      </c>
      <c r="J290" s="93">
        <v>2755</v>
      </c>
      <c r="K290" s="108">
        <f>(F290*138.66)*SUM(1,Macrogegevens!$C$4,0.5*Macrogegevens!$C$6,Macrogegevens!$C$8)</f>
        <v>4785987.3397920001</v>
      </c>
      <c r="L290" s="108">
        <f t="shared" si="34"/>
        <v>2532851.0999999996</v>
      </c>
      <c r="M290" s="108">
        <v>5830493.9248578539</v>
      </c>
      <c r="N290" s="108">
        <v>4303799.7983125318</v>
      </c>
      <c r="O290" s="108">
        <v>0</v>
      </c>
      <c r="P290" s="108">
        <f t="shared" si="35"/>
        <v>10134293.723170385</v>
      </c>
      <c r="Q290" s="108">
        <v>98347000</v>
      </c>
      <c r="R290" s="155">
        <v>1153.965648631221</v>
      </c>
      <c r="S290" s="122">
        <v>0.1288</v>
      </c>
      <c r="T290" s="122">
        <v>0.1211</v>
      </c>
      <c r="U290" s="122">
        <v>0.10299999999999999</v>
      </c>
      <c r="V290" s="122" t="s">
        <v>503</v>
      </c>
      <c r="W290" s="108">
        <v>3327200000</v>
      </c>
      <c r="X290" s="108">
        <v>601300000</v>
      </c>
      <c r="Y290" s="108">
        <v>676900000</v>
      </c>
      <c r="Z290" s="108">
        <f t="shared" si="36"/>
        <v>4285433.6000000006</v>
      </c>
      <c r="AA290" s="108">
        <f t="shared" si="37"/>
        <v>1425381.2999999998</v>
      </c>
      <c r="AB290" s="108">
        <f t="shared" si="38"/>
        <v>8243666</v>
      </c>
      <c r="AC290" s="108">
        <f t="shared" si="39"/>
        <v>2532851.0999999996</v>
      </c>
    </row>
    <row r="291" spans="1:29" x14ac:dyDescent="0.2">
      <c r="A291" s="134" t="s">
        <v>629</v>
      </c>
      <c r="B291" s="99">
        <f t="shared" si="32"/>
        <v>5.1073061076092295E-3</v>
      </c>
      <c r="C291" t="s">
        <v>621</v>
      </c>
      <c r="D291" s="99">
        <f t="shared" si="33"/>
        <v>3.1505667450093713E-2</v>
      </c>
      <c r="E291" s="123">
        <v>2094086000</v>
      </c>
      <c r="F291" s="219">
        <v>514644</v>
      </c>
      <c r="G291" s="93">
        <v>538300</v>
      </c>
      <c r="H291" s="93">
        <v>33613</v>
      </c>
      <c r="I291" s="93">
        <v>77880</v>
      </c>
      <c r="J291" s="93">
        <v>31495</v>
      </c>
      <c r="K291" s="108">
        <f>(F291*185)*SUM(1,Macrogegevens!$C$4,0.5*Macrogegevens!$C$6,Macrogegevens!$C$8)</f>
        <v>97179969.198000014</v>
      </c>
      <c r="L291" s="108">
        <f t="shared" si="34"/>
        <v>43141519.849999994</v>
      </c>
      <c r="M291" s="108">
        <v>112936507.3077326</v>
      </c>
      <c r="N291" s="108">
        <v>63076966.138862982</v>
      </c>
      <c r="O291" s="108">
        <v>67795597.164061829</v>
      </c>
      <c r="P291" s="108">
        <f t="shared" si="35"/>
        <v>243809070.61065739</v>
      </c>
      <c r="Q291" s="108">
        <v>2190262000</v>
      </c>
      <c r="R291" s="155">
        <v>693.29223236782911</v>
      </c>
      <c r="S291" s="122">
        <v>6.6900000000000001E-2</v>
      </c>
      <c r="T291" s="122">
        <v>0.21540000000000001</v>
      </c>
      <c r="U291" s="122">
        <v>0.1193</v>
      </c>
      <c r="V291" s="122" t="s">
        <v>629</v>
      </c>
      <c r="W291" s="108">
        <v>36512800000</v>
      </c>
      <c r="X291" s="108">
        <v>9211650000</v>
      </c>
      <c r="Y291" s="108">
        <v>9319450000</v>
      </c>
      <c r="Z291" s="108">
        <f t="shared" si="36"/>
        <v>24427063.199999999</v>
      </c>
      <c r="AA291" s="108">
        <f t="shared" si="37"/>
        <v>30959997.950000003</v>
      </c>
      <c r="AB291" s="108">
        <f t="shared" si="38"/>
        <v>98528581</v>
      </c>
      <c r="AC291" s="108">
        <f t="shared" si="39"/>
        <v>43141519.849999994</v>
      </c>
    </row>
    <row r="292" spans="1:29" x14ac:dyDescent="0.2">
      <c r="A292" s="125" t="s">
        <v>744</v>
      </c>
      <c r="B292" s="99">
        <v>7.4886242814933652E-3</v>
      </c>
      <c r="C292" t="s">
        <v>621</v>
      </c>
      <c r="D292" s="99">
        <v>2.8142824458345185E-2</v>
      </c>
      <c r="E292" s="234">
        <v>484944574.61892945</v>
      </c>
      <c r="F292" s="235">
        <v>150992.48422545198</v>
      </c>
      <c r="G292" s="108">
        <v>161169.01807869549</v>
      </c>
      <c r="H292" s="108">
        <v>11414.25416518965</v>
      </c>
      <c r="I292" s="108">
        <v>27277.880184331796</v>
      </c>
      <c r="J292" s="108">
        <v>10771.795462601915</v>
      </c>
      <c r="K292" s="108">
        <v>21370005.852459088</v>
      </c>
      <c r="L292" s="108">
        <v>5852162.2226160914</v>
      </c>
      <c r="M292" s="108">
        <v>33197475.803454466</v>
      </c>
      <c r="N292" s="108">
        <v>17343269.653368644</v>
      </c>
      <c r="O292" s="108">
        <v>15502761.089788439</v>
      </c>
      <c r="P292" s="108">
        <v>66043506.546611547</v>
      </c>
      <c r="Q292" s="108">
        <v>493044100.67352003</v>
      </c>
      <c r="R292" s="155">
        <v>1560</v>
      </c>
      <c r="S292" s="122">
        <v>0.1</v>
      </c>
      <c r="T292" s="122">
        <v>0.25900000000000001</v>
      </c>
      <c r="U292" s="122">
        <v>0.20699999999999999</v>
      </c>
      <c r="V292" s="122" t="s">
        <v>744</v>
      </c>
      <c r="W292" s="108">
        <v>12013094505.494505</v>
      </c>
      <c r="X292" s="108">
        <v>3340643920.5955334</v>
      </c>
      <c r="Y292" s="108">
        <v>3448811786.6004963</v>
      </c>
      <c r="Z292" s="108">
        <v>12013094.505494505</v>
      </c>
      <c r="AA292" s="108">
        <v>15791308.152605459</v>
      </c>
      <c r="AB292" s="108">
        <v>33656564.880716056</v>
      </c>
      <c r="AC292" s="108">
        <v>5852162.2226160914</v>
      </c>
    </row>
    <row r="293" spans="1:29" x14ac:dyDescent="0.2">
      <c r="A293" s="124" t="s">
        <v>597</v>
      </c>
      <c r="B293" s="99">
        <f t="shared" si="32"/>
        <v>5.4290484824272972E-4</v>
      </c>
      <c r="C293" t="s">
        <v>689</v>
      </c>
      <c r="D293" s="99">
        <f t="shared" si="33"/>
        <v>6.1243144424131625E-2</v>
      </c>
      <c r="E293" s="123">
        <v>21888917</v>
      </c>
      <c r="F293" s="219">
        <v>10847</v>
      </c>
      <c r="G293" s="93">
        <v>10900</v>
      </c>
      <c r="H293" s="93">
        <v>547</v>
      </c>
      <c r="I293" s="93">
        <v>1095</v>
      </c>
      <c r="J293" s="93">
        <v>480</v>
      </c>
      <c r="K293" s="108">
        <f>(F293*138.66)*SUM(1,Macrogegevens!$C$4,0.5*Macrogegevens!$C$6,Macrogegevens!$C$8)</f>
        <v>1535178.7519140004</v>
      </c>
      <c r="L293" s="108">
        <f t="shared" si="34"/>
        <v>0</v>
      </c>
      <c r="M293" s="108">
        <v>2495961.5875163577</v>
      </c>
      <c r="N293" s="108">
        <v>2044405.5852749343</v>
      </c>
      <c r="O293" s="108">
        <v>0</v>
      </c>
      <c r="P293" s="108">
        <f t="shared" si="35"/>
        <v>4540367.172791292</v>
      </c>
      <c r="Q293" s="108">
        <v>21183499</v>
      </c>
      <c r="R293" s="155">
        <v>314.1142233539469</v>
      </c>
      <c r="S293" s="122">
        <v>0.19139999999999999</v>
      </c>
      <c r="T293" s="122">
        <v>0.16200000000000001</v>
      </c>
      <c r="U293" s="122">
        <v>0.16200000000000001</v>
      </c>
      <c r="V293" s="122" t="s">
        <v>597</v>
      </c>
      <c r="W293" s="108">
        <v>644400000</v>
      </c>
      <c r="X293" s="108">
        <v>70350000</v>
      </c>
      <c r="Y293" s="108">
        <v>84350000</v>
      </c>
      <c r="Z293" s="108">
        <f t="shared" si="36"/>
        <v>1233381.5999999999</v>
      </c>
      <c r="AA293" s="108">
        <f t="shared" si="37"/>
        <v>250614</v>
      </c>
      <c r="AB293" s="108">
        <f t="shared" si="38"/>
        <v>1430389</v>
      </c>
      <c r="AC293" s="108">
        <f t="shared" si="39"/>
        <v>-53606.59999999986</v>
      </c>
    </row>
    <row r="294" spans="1:29" x14ac:dyDescent="0.2">
      <c r="A294" s="124" t="s">
        <v>619</v>
      </c>
      <c r="B294" s="99">
        <f t="shared" si="32"/>
        <v>-5.8650745811686137E-3</v>
      </c>
      <c r="C294" t="s">
        <v>689</v>
      </c>
      <c r="D294" s="99">
        <f t="shared" si="33"/>
        <v>4.2829643888354189E-2</v>
      </c>
      <c r="E294" s="123">
        <v>24319380</v>
      </c>
      <c r="F294" s="219">
        <v>11613</v>
      </c>
      <c r="G294" s="93">
        <v>11000</v>
      </c>
      <c r="H294" s="93">
        <v>1039</v>
      </c>
      <c r="I294" s="93">
        <v>1890</v>
      </c>
      <c r="J294" s="93">
        <v>950</v>
      </c>
      <c r="K294" s="108">
        <f>(F294*138.66)*SUM(1,Macrogegevens!$C$4,0.5*Macrogegevens!$C$6,Macrogegevens!$C$8)</f>
        <v>1643590.9326060005</v>
      </c>
      <c r="L294" s="108">
        <f t="shared" si="34"/>
        <v>372819.75000000012</v>
      </c>
      <c r="M294" s="108">
        <v>1698155.9490370974</v>
      </c>
      <c r="N294" s="108">
        <v>1379951.7863693247</v>
      </c>
      <c r="O294" s="108">
        <v>0</v>
      </c>
      <c r="P294" s="108">
        <f t="shared" si="35"/>
        <v>3078107.7354064221</v>
      </c>
      <c r="Q294" s="108">
        <v>26325459</v>
      </c>
      <c r="R294" s="155">
        <v>-213.56189832798515</v>
      </c>
      <c r="S294" s="122">
        <v>0.13013</v>
      </c>
      <c r="T294" s="122">
        <v>0.21529999999999999</v>
      </c>
      <c r="U294" s="122">
        <v>0.1724</v>
      </c>
      <c r="V294" s="122" t="s">
        <v>556</v>
      </c>
      <c r="W294" s="108">
        <v>904000000</v>
      </c>
      <c r="X294" s="108">
        <v>243249999.99999997</v>
      </c>
      <c r="Y294" s="108">
        <v>292950000</v>
      </c>
      <c r="Z294" s="108">
        <f t="shared" si="36"/>
        <v>1176375.2</v>
      </c>
      <c r="AA294" s="108">
        <f t="shared" si="37"/>
        <v>1028763.0499999999</v>
      </c>
      <c r="AB294" s="108">
        <f t="shared" si="38"/>
        <v>2577958</v>
      </c>
      <c r="AC294" s="108">
        <f t="shared" si="39"/>
        <v>372819.75000000012</v>
      </c>
    </row>
    <row r="295" spans="1:29" x14ac:dyDescent="0.2">
      <c r="A295" s="124" t="s">
        <v>557</v>
      </c>
      <c r="B295" s="99">
        <f t="shared" si="32"/>
        <v>-2.7462854728540244E-3</v>
      </c>
      <c r="C295" t="s">
        <v>689</v>
      </c>
      <c r="D295" s="99">
        <f t="shared" si="33"/>
        <v>4.5043005885015842E-2</v>
      </c>
      <c r="E295" s="123">
        <v>49595400</v>
      </c>
      <c r="F295" s="219">
        <v>28402</v>
      </c>
      <c r="G295" s="93">
        <v>27700</v>
      </c>
      <c r="H295" s="93">
        <v>2209</v>
      </c>
      <c r="I295" s="93">
        <v>5115</v>
      </c>
      <c r="J295" s="93">
        <v>2010</v>
      </c>
      <c r="K295" s="108">
        <f>(F295*138.66)*SUM(1,Macrogegevens!$C$4,0.5*Macrogegevens!$C$6,Macrogegevens!$C$8)</f>
        <v>4019742.5013240003</v>
      </c>
      <c r="L295" s="108">
        <f t="shared" si="34"/>
        <v>1984285.3099999996</v>
      </c>
      <c r="M295" s="108">
        <v>5339882.4903875189</v>
      </c>
      <c r="N295" s="108">
        <v>2830510.4662009487</v>
      </c>
      <c r="O295" s="108">
        <v>0</v>
      </c>
      <c r="P295" s="108">
        <f t="shared" si="35"/>
        <v>8170392.9565884676</v>
      </c>
      <c r="Q295" s="108">
        <v>51495300</v>
      </c>
      <c r="R295" s="155">
        <v>219.63181462790533</v>
      </c>
      <c r="S295" s="122">
        <v>0.11635</v>
      </c>
      <c r="T295" s="122">
        <v>0.12584000000000001</v>
      </c>
      <c r="U295" s="122">
        <v>7.7509999999999996E-2</v>
      </c>
      <c r="V295" s="122" t="s">
        <v>557</v>
      </c>
      <c r="W295" s="108">
        <v>2616800000</v>
      </c>
      <c r="X295" s="108">
        <v>203700000</v>
      </c>
      <c r="Y295" s="108">
        <v>233100000</v>
      </c>
      <c r="Z295" s="108">
        <f t="shared" si="36"/>
        <v>3044646.8000000003</v>
      </c>
      <c r="AA295" s="108">
        <f t="shared" si="37"/>
        <v>437011.89</v>
      </c>
      <c r="AB295" s="108">
        <f t="shared" si="38"/>
        <v>5465944</v>
      </c>
      <c r="AC295" s="108">
        <f t="shared" si="39"/>
        <v>1984285.3099999996</v>
      </c>
    </row>
    <row r="296" spans="1:29" x14ac:dyDescent="0.2">
      <c r="A296" s="124" t="s">
        <v>558</v>
      </c>
      <c r="B296" s="99">
        <f t="shared" si="32"/>
        <v>1.5977408687251513E-3</v>
      </c>
      <c r="C296" t="s">
        <v>228</v>
      </c>
      <c r="D296" s="99">
        <f t="shared" si="33"/>
        <v>4.4098143236074271E-2</v>
      </c>
      <c r="E296" s="123">
        <v>31178000</v>
      </c>
      <c r="F296" s="219">
        <v>17942</v>
      </c>
      <c r="G296" s="93">
        <v>18200</v>
      </c>
      <c r="H296" s="93">
        <v>1508</v>
      </c>
      <c r="I296" s="93">
        <v>3190</v>
      </c>
      <c r="J296" s="93">
        <v>1375</v>
      </c>
      <c r="K296" s="108">
        <f>(F296*138.66)*SUM(1,Macrogegevens!$C$4,0.5*Macrogegevens!$C$6,Macrogegevens!$C$8)</f>
        <v>2539335.960804</v>
      </c>
      <c r="L296" s="108">
        <f t="shared" si="34"/>
        <v>1030994.4000000001</v>
      </c>
      <c r="M296" s="108">
        <v>2980353.3785171211</v>
      </c>
      <c r="N296" s="108">
        <v>1740794.2720248413</v>
      </c>
      <c r="O296" s="108">
        <v>0</v>
      </c>
      <c r="P296" s="108">
        <f t="shared" si="35"/>
        <v>4721147.6505419621</v>
      </c>
      <c r="Q296" s="108">
        <v>31780000</v>
      </c>
      <c r="R296" s="155">
        <v>1271.7194570135746</v>
      </c>
      <c r="S296" s="122">
        <v>0.12609999999999999</v>
      </c>
      <c r="T296" s="122">
        <v>0.17419999999999999</v>
      </c>
      <c r="U296" s="122">
        <v>0.13669999999999999</v>
      </c>
      <c r="V296" s="122" t="s">
        <v>558</v>
      </c>
      <c r="W296" s="108">
        <v>1662000000</v>
      </c>
      <c r="X296" s="108">
        <v>275450000</v>
      </c>
      <c r="Y296" s="108">
        <v>327600000</v>
      </c>
      <c r="Z296" s="108">
        <f t="shared" si="36"/>
        <v>2095782</v>
      </c>
      <c r="AA296" s="108">
        <f t="shared" si="37"/>
        <v>927663.09999999986</v>
      </c>
      <c r="AB296" s="108">
        <f t="shared" si="38"/>
        <v>4054439.5</v>
      </c>
      <c r="AC296" s="108">
        <f t="shared" si="39"/>
        <v>1030994.4000000001</v>
      </c>
    </row>
    <row r="297" spans="1:29" x14ac:dyDescent="0.2">
      <c r="A297" s="124" t="s">
        <v>598</v>
      </c>
      <c r="B297" s="99">
        <f t="shared" si="32"/>
        <v>4.3333143691566631E-3</v>
      </c>
      <c r="C297" t="s">
        <v>621</v>
      </c>
      <c r="D297" s="99">
        <f t="shared" si="33"/>
        <v>3.0350844625951365E-2</v>
      </c>
      <c r="E297" s="123">
        <v>293065000</v>
      </c>
      <c r="F297" s="219">
        <v>93744</v>
      </c>
      <c r="G297" s="93">
        <v>97400</v>
      </c>
      <c r="H297" s="93">
        <v>5387</v>
      </c>
      <c r="I297" s="93">
        <v>12160</v>
      </c>
      <c r="J297" s="93">
        <v>5060</v>
      </c>
      <c r="K297" s="108">
        <f>(F297*138.66)*SUM(1,Macrogegevens!$C$4,0.5*Macrogegevens!$C$6,Macrogegevens!$C$8)</f>
        <v>13267612.880928</v>
      </c>
      <c r="L297" s="108">
        <f t="shared" si="34"/>
        <v>0</v>
      </c>
      <c r="M297" s="108">
        <v>26548051.299985714</v>
      </c>
      <c r="N297" s="108">
        <v>19520492.942994658</v>
      </c>
      <c r="O297" s="108">
        <v>0</v>
      </c>
      <c r="P297" s="108">
        <f t="shared" si="35"/>
        <v>46068544.242980376</v>
      </c>
      <c r="Q297" s="108">
        <v>291100000</v>
      </c>
      <c r="R297" s="155">
        <v>3100.7948090673331</v>
      </c>
      <c r="S297" s="122">
        <v>0.17610000000000001</v>
      </c>
      <c r="T297" s="122">
        <v>0.43569999999999998</v>
      </c>
      <c r="U297" s="122">
        <v>0.33079999999999998</v>
      </c>
      <c r="V297" s="122" t="s">
        <v>598</v>
      </c>
      <c r="W297" s="108">
        <v>5679200000</v>
      </c>
      <c r="X297" s="108">
        <v>2333800000</v>
      </c>
      <c r="Y297" s="108">
        <v>2378950000</v>
      </c>
      <c r="Z297" s="108">
        <f t="shared" si="36"/>
        <v>10001071.199999999</v>
      </c>
      <c r="AA297" s="108">
        <f t="shared" si="37"/>
        <v>18037933.199999999</v>
      </c>
      <c r="AB297" s="108">
        <f t="shared" si="38"/>
        <v>18601590.5</v>
      </c>
      <c r="AC297" s="108">
        <f t="shared" si="39"/>
        <v>-9437413.8999999985</v>
      </c>
    </row>
    <row r="298" spans="1:29" x14ac:dyDescent="0.2">
      <c r="A298" s="124" t="s">
        <v>480</v>
      </c>
      <c r="B298" s="99">
        <f t="shared" si="32"/>
        <v>4.6389763744201281E-3</v>
      </c>
      <c r="C298" t="s">
        <v>228</v>
      </c>
      <c r="D298" s="99">
        <f t="shared" si="33"/>
        <v>2.0013568521031207E-2</v>
      </c>
      <c r="E298" s="123">
        <v>61498767</v>
      </c>
      <c r="F298" s="219">
        <v>24766</v>
      </c>
      <c r="G298" s="93">
        <v>25800</v>
      </c>
      <c r="H298" s="93">
        <v>1474</v>
      </c>
      <c r="I298" s="93">
        <v>3700</v>
      </c>
      <c r="J298" s="93">
        <v>1415</v>
      </c>
      <c r="K298" s="108">
        <f>(F298*138.66)*SUM(1,Macrogegevens!$C$4,0.5*Macrogegevens!$C$6,Macrogegevens!$C$8)</f>
        <v>3505138.4686920005</v>
      </c>
      <c r="L298" s="108">
        <f t="shared" si="34"/>
        <v>1442955.7499999998</v>
      </c>
      <c r="M298" s="108">
        <v>5480989.8452542424</v>
      </c>
      <c r="N298" s="108">
        <v>2640882.7946860497</v>
      </c>
      <c r="O298" s="108">
        <v>0</v>
      </c>
      <c r="P298" s="108">
        <f t="shared" si="35"/>
        <v>8121872.6399402916</v>
      </c>
      <c r="Q298" s="108">
        <v>61891084</v>
      </c>
      <c r="R298" s="155">
        <v>1135.9610826992641</v>
      </c>
      <c r="S298" s="122">
        <v>0.10489999999999999</v>
      </c>
      <c r="T298" s="122">
        <v>0.15060000000000001</v>
      </c>
      <c r="U298" s="122">
        <v>0.1173</v>
      </c>
      <c r="V298" s="122" t="s">
        <v>480</v>
      </c>
      <c r="W298" s="108">
        <v>1442800000</v>
      </c>
      <c r="X298" s="108">
        <v>390950000</v>
      </c>
      <c r="Y298" s="108">
        <v>425950000</v>
      </c>
      <c r="Z298" s="108">
        <f t="shared" si="36"/>
        <v>1513497.2</v>
      </c>
      <c r="AA298" s="108">
        <f t="shared" si="37"/>
        <v>1088410.05</v>
      </c>
      <c r="AB298" s="108">
        <f t="shared" si="38"/>
        <v>4044863</v>
      </c>
      <c r="AC298" s="108">
        <f t="shared" si="39"/>
        <v>1442955.7499999998</v>
      </c>
    </row>
    <row r="299" spans="1:29" x14ac:dyDescent="0.2">
      <c r="A299" s="124" t="s">
        <v>245</v>
      </c>
      <c r="B299" s="99">
        <f t="shared" si="32"/>
        <v>4.4364559706708889E-3</v>
      </c>
      <c r="C299" t="s">
        <v>689</v>
      </c>
      <c r="D299" s="99">
        <f t="shared" si="33"/>
        <v>6.0018050541516245E-2</v>
      </c>
      <c r="E299" s="123">
        <v>31870000</v>
      </c>
      <c r="F299" s="219">
        <v>15578</v>
      </c>
      <c r="G299" s="93">
        <v>16200</v>
      </c>
      <c r="H299" s="93">
        <v>1108</v>
      </c>
      <c r="I299" s="93">
        <v>2255</v>
      </c>
      <c r="J299" s="93">
        <v>975</v>
      </c>
      <c r="K299" s="108">
        <f>(F299*138.66)*SUM(1,Macrogegevens!$C$4,0.5*Macrogegevens!$C$6,Macrogegevens!$C$8)</f>
        <v>2204758.4214360001</v>
      </c>
      <c r="L299" s="108">
        <f t="shared" si="34"/>
        <v>585113.89999999991</v>
      </c>
      <c r="M299" s="108">
        <v>3179585.7062922497</v>
      </c>
      <c r="N299" s="108">
        <v>1605593.1420433412</v>
      </c>
      <c r="O299" s="108">
        <v>0</v>
      </c>
      <c r="P299" s="108">
        <f t="shared" si="35"/>
        <v>4785178.8483355911</v>
      </c>
      <c r="Q299" s="108">
        <v>35504000</v>
      </c>
      <c r="R299" s="155">
        <v>1476.7598842815814</v>
      </c>
      <c r="S299" s="122">
        <v>0.13</v>
      </c>
      <c r="T299" s="122">
        <v>0.1724</v>
      </c>
      <c r="U299" s="122">
        <v>0.13900000000000001</v>
      </c>
      <c r="V299" s="122" t="s">
        <v>245</v>
      </c>
      <c r="W299" s="108">
        <v>901200000</v>
      </c>
      <c r="X299" s="108">
        <v>276150000</v>
      </c>
      <c r="Y299" s="108">
        <v>313250000</v>
      </c>
      <c r="Z299" s="108">
        <f t="shared" si="36"/>
        <v>1171560</v>
      </c>
      <c r="AA299" s="108">
        <f t="shared" si="37"/>
        <v>911500.10000000009</v>
      </c>
      <c r="AB299" s="108">
        <f t="shared" si="38"/>
        <v>2668174</v>
      </c>
      <c r="AC299" s="108">
        <f t="shared" si="39"/>
        <v>585113.89999999991</v>
      </c>
    </row>
    <row r="300" spans="1:29" x14ac:dyDescent="0.2">
      <c r="A300" s="124" t="s">
        <v>504</v>
      </c>
      <c r="B300" s="99">
        <f t="shared" si="32"/>
        <v>-3.9540488055965E-3</v>
      </c>
      <c r="C300" t="s">
        <v>228</v>
      </c>
      <c r="D300" s="99">
        <f t="shared" si="33"/>
        <v>6.3714902807775378E-2</v>
      </c>
      <c r="E300" s="123">
        <v>64513000</v>
      </c>
      <c r="F300" s="219">
        <v>23745</v>
      </c>
      <c r="G300" s="93">
        <v>22900</v>
      </c>
      <c r="H300" s="93">
        <v>2315</v>
      </c>
      <c r="I300" s="93">
        <v>4835</v>
      </c>
      <c r="J300" s="93">
        <v>2020</v>
      </c>
      <c r="K300" s="108">
        <f>(F300*138.66)*SUM(1,Macrogegevens!$C$4,0.5*Macrogegevens!$C$6,Macrogegevens!$C$8)</f>
        <v>3360636.07119</v>
      </c>
      <c r="L300" s="108">
        <f t="shared" si="34"/>
        <v>1931761.2000000002</v>
      </c>
      <c r="M300" s="108">
        <v>3386560.8911959431</v>
      </c>
      <c r="N300" s="108">
        <v>4045498.6994874268</v>
      </c>
      <c r="O300" s="108">
        <v>0</v>
      </c>
      <c r="P300" s="108">
        <f t="shared" si="35"/>
        <v>7432059.5906833699</v>
      </c>
      <c r="Q300" s="108">
        <v>61672000</v>
      </c>
      <c r="R300" s="155">
        <v>2493.6277969197558</v>
      </c>
      <c r="S300" s="122">
        <v>0.1085</v>
      </c>
      <c r="T300" s="122">
        <v>0.1699</v>
      </c>
      <c r="U300" s="122">
        <v>0.1386</v>
      </c>
      <c r="V300" s="122" t="s">
        <v>504</v>
      </c>
      <c r="W300" s="108">
        <v>2386000000</v>
      </c>
      <c r="X300" s="108">
        <v>460600000</v>
      </c>
      <c r="Y300" s="108">
        <v>514149999.99999994</v>
      </c>
      <c r="Z300" s="108">
        <f t="shared" si="36"/>
        <v>2588810</v>
      </c>
      <c r="AA300" s="108">
        <f t="shared" si="37"/>
        <v>1495171.2999999998</v>
      </c>
      <c r="AB300" s="108">
        <f t="shared" si="38"/>
        <v>6015742.5</v>
      </c>
      <c r="AC300" s="108">
        <f t="shared" si="39"/>
        <v>1931761.2000000002</v>
      </c>
    </row>
    <row r="301" spans="1:29" x14ac:dyDescent="0.2">
      <c r="A301" s="124" t="s">
        <v>269</v>
      </c>
      <c r="B301" s="99">
        <f t="shared" si="32"/>
        <v>6.5481683906048367E-3</v>
      </c>
      <c r="C301" t="s">
        <v>621</v>
      </c>
      <c r="D301" s="99">
        <f t="shared" si="33"/>
        <v>4.2116306954436453E-2</v>
      </c>
      <c r="E301" s="123">
        <v>148159000</v>
      </c>
      <c r="F301" s="219">
        <v>55622</v>
      </c>
      <c r="G301" s="93">
        <v>58900</v>
      </c>
      <c r="H301" s="93">
        <v>3336</v>
      </c>
      <c r="I301" s="93">
        <v>7565</v>
      </c>
      <c r="J301" s="93">
        <v>3055</v>
      </c>
      <c r="K301" s="108">
        <f>(F301*138.66)*SUM(1,Macrogegevens!$C$4,0.5*Macrogegevens!$C$6,Macrogegevens!$C$8)</f>
        <v>7872196.2329640007</v>
      </c>
      <c r="L301" s="108">
        <f t="shared" si="34"/>
        <v>52434.75</v>
      </c>
      <c r="M301" s="108">
        <v>18552413.198261492</v>
      </c>
      <c r="N301" s="108">
        <v>9424578.9406112265</v>
      </c>
      <c r="O301" s="108">
        <v>0</v>
      </c>
      <c r="P301" s="108">
        <f t="shared" si="35"/>
        <v>27976992.13887272</v>
      </c>
      <c r="Q301" s="108">
        <v>144591000</v>
      </c>
      <c r="R301" s="155">
        <v>2049.3568055580686</v>
      </c>
      <c r="S301" s="122">
        <v>0.13969999999999999</v>
      </c>
      <c r="T301" s="122">
        <v>0.2757</v>
      </c>
      <c r="U301" s="122">
        <v>0.2205</v>
      </c>
      <c r="V301" s="122" t="s">
        <v>269</v>
      </c>
      <c r="W301" s="108">
        <v>3274800000</v>
      </c>
      <c r="X301" s="108">
        <v>882700000</v>
      </c>
      <c r="Y301" s="108">
        <v>918050000</v>
      </c>
      <c r="Z301" s="108">
        <f t="shared" si="36"/>
        <v>4574895.5999999996</v>
      </c>
      <c r="AA301" s="108">
        <f t="shared" si="37"/>
        <v>4457904.1500000004</v>
      </c>
      <c r="AB301" s="108">
        <f t="shared" si="38"/>
        <v>9085234.5</v>
      </c>
      <c r="AC301" s="108">
        <f t="shared" si="39"/>
        <v>52434.75</v>
      </c>
    </row>
    <row r="302" spans="1:29" x14ac:dyDescent="0.2">
      <c r="A302" s="124" t="s">
        <v>370</v>
      </c>
      <c r="B302" s="99">
        <f t="shared" si="32"/>
        <v>-8.7019437600219013E-4</v>
      </c>
      <c r="C302" t="s">
        <v>228</v>
      </c>
      <c r="D302" s="99">
        <f t="shared" si="33"/>
        <v>2.0173718128327262E-2</v>
      </c>
      <c r="E302" s="123">
        <v>87245000</v>
      </c>
      <c r="F302" s="219">
        <v>45456</v>
      </c>
      <c r="G302" s="93">
        <v>45100</v>
      </c>
      <c r="H302" s="93">
        <v>3569</v>
      </c>
      <c r="I302" s="93">
        <v>8930</v>
      </c>
      <c r="J302" s="93">
        <v>3425</v>
      </c>
      <c r="K302" s="108">
        <f>(F302*138.66)*SUM(1,Macrogegevens!$C$4,0.5*Macrogegevens!$C$6,Macrogegevens!$C$8)</f>
        <v>6433399.5894720014</v>
      </c>
      <c r="L302" s="108">
        <f t="shared" si="34"/>
        <v>4459323.6500000004</v>
      </c>
      <c r="M302" s="108">
        <v>9907537.2174403146</v>
      </c>
      <c r="N302" s="108">
        <v>5729056.2361884844</v>
      </c>
      <c r="O302" s="108">
        <v>0</v>
      </c>
      <c r="P302" s="108">
        <f t="shared" si="35"/>
        <v>15636593.453628799</v>
      </c>
      <c r="Q302" s="108">
        <v>90946000</v>
      </c>
      <c r="R302" s="155">
        <v>446.78196147110333</v>
      </c>
      <c r="S302" s="122">
        <v>8.8200000000000001E-2</v>
      </c>
      <c r="T302" s="122">
        <v>0.1658</v>
      </c>
      <c r="U302" s="122">
        <v>0.1333</v>
      </c>
      <c r="V302" s="122" t="s">
        <v>370</v>
      </c>
      <c r="W302" s="108">
        <v>4444000000</v>
      </c>
      <c r="X302" s="108">
        <v>708750000</v>
      </c>
      <c r="Y302" s="108">
        <v>723450000</v>
      </c>
      <c r="Z302" s="108">
        <f t="shared" si="36"/>
        <v>3919608</v>
      </c>
      <c r="AA302" s="108">
        <f t="shared" si="37"/>
        <v>2139466.35</v>
      </c>
      <c r="AB302" s="108">
        <f t="shared" si="38"/>
        <v>10518398</v>
      </c>
      <c r="AC302" s="108">
        <f t="shared" si="39"/>
        <v>4459323.6500000004</v>
      </c>
    </row>
    <row r="303" spans="1:29" x14ac:dyDescent="0.2">
      <c r="A303" s="124" t="s">
        <v>559</v>
      </c>
      <c r="B303" s="99">
        <f t="shared" si="32"/>
        <v>-3.4672042914830475E-3</v>
      </c>
      <c r="C303" t="s">
        <v>689</v>
      </c>
      <c r="D303" s="99">
        <f t="shared" si="33"/>
        <v>4.4891640866873063E-2</v>
      </c>
      <c r="E303" s="123">
        <v>44385406</v>
      </c>
      <c r="F303" s="219">
        <v>18683</v>
      </c>
      <c r="G303" s="93">
        <v>18100</v>
      </c>
      <c r="H303" s="93">
        <v>1615</v>
      </c>
      <c r="I303" s="93">
        <v>3685</v>
      </c>
      <c r="J303" s="93">
        <v>1470</v>
      </c>
      <c r="K303" s="108">
        <f>(F303*138.66)*SUM(1,Macrogegevens!$C$4,0.5*Macrogegevens!$C$6,Macrogegevens!$C$8)</f>
        <v>2644209.8849460003</v>
      </c>
      <c r="L303" s="108">
        <f t="shared" si="34"/>
        <v>1090851.25</v>
      </c>
      <c r="M303" s="108">
        <v>3201829.1699319007</v>
      </c>
      <c r="N303" s="108">
        <v>2069453.8992599468</v>
      </c>
      <c r="O303" s="108">
        <v>0</v>
      </c>
      <c r="P303" s="108">
        <f t="shared" si="35"/>
        <v>5271283.069191847</v>
      </c>
      <c r="Q303" s="108">
        <v>38409274</v>
      </c>
      <c r="R303" s="155">
        <v>-345.65801744473094</v>
      </c>
      <c r="S303" s="122">
        <v>0.1176</v>
      </c>
      <c r="T303" s="122">
        <v>0.16600000000000001</v>
      </c>
      <c r="U303" s="122">
        <v>0.15229999999999999</v>
      </c>
      <c r="V303" s="122" t="s">
        <v>559</v>
      </c>
      <c r="W303" s="108">
        <v>1550000000</v>
      </c>
      <c r="X303" s="108">
        <v>319200000</v>
      </c>
      <c r="Y303" s="108">
        <v>365750000</v>
      </c>
      <c r="Z303" s="108">
        <f t="shared" si="36"/>
        <v>1822800</v>
      </c>
      <c r="AA303" s="108">
        <f t="shared" si="37"/>
        <v>1086909.25</v>
      </c>
      <c r="AB303" s="108">
        <f t="shared" si="38"/>
        <v>4000560.5</v>
      </c>
      <c r="AC303" s="108">
        <f t="shared" si="39"/>
        <v>1090851.25</v>
      </c>
    </row>
    <row r="304" spans="1:29" x14ac:dyDescent="0.2">
      <c r="A304" s="124" t="s">
        <v>560</v>
      </c>
      <c r="B304" s="99">
        <f t="shared" si="32"/>
        <v>-4.3323607625499038E-3</v>
      </c>
      <c r="C304" t="s">
        <v>689</v>
      </c>
      <c r="D304" s="99">
        <f t="shared" si="33"/>
        <v>4.7128129602356406E-2</v>
      </c>
      <c r="E304" s="123">
        <v>32067000</v>
      </c>
      <c r="F304" s="219">
        <v>16337</v>
      </c>
      <c r="G304" s="93">
        <v>15700</v>
      </c>
      <c r="H304" s="93">
        <v>1358</v>
      </c>
      <c r="I304" s="93">
        <v>3195</v>
      </c>
      <c r="J304" s="93">
        <v>1230</v>
      </c>
      <c r="K304" s="108">
        <f>(F304*138.66)*SUM(1,Macrogegevens!$C$4,0.5*Macrogegevens!$C$6,Macrogegevens!$C$8)</f>
        <v>2312179.8902940005</v>
      </c>
      <c r="L304" s="108">
        <f t="shared" si="34"/>
        <v>1933857.4500000002</v>
      </c>
      <c r="M304" s="108">
        <v>2593470.6113380864</v>
      </c>
      <c r="N304" s="108">
        <v>1584893.5595597811</v>
      </c>
      <c r="O304" s="108">
        <v>0</v>
      </c>
      <c r="P304" s="108">
        <f t="shared" si="35"/>
        <v>4178364.1708978675</v>
      </c>
      <c r="Q304" s="108">
        <v>31168000</v>
      </c>
      <c r="R304" s="155">
        <v>472.68867014089943</v>
      </c>
      <c r="S304" s="122">
        <v>8.8700000000000001E-2</v>
      </c>
      <c r="T304" s="122">
        <v>0.13469999999999999</v>
      </c>
      <c r="U304" s="122">
        <v>0.1205</v>
      </c>
      <c r="V304" s="122" t="s">
        <v>560</v>
      </c>
      <c r="W304" s="108">
        <v>1616400000</v>
      </c>
      <c r="X304" s="108">
        <v>456750000</v>
      </c>
      <c r="Y304" s="108">
        <v>464800000</v>
      </c>
      <c r="Z304" s="108">
        <f t="shared" si="36"/>
        <v>1433746.8</v>
      </c>
      <c r="AA304" s="108">
        <f t="shared" si="37"/>
        <v>1175326.25</v>
      </c>
      <c r="AB304" s="108">
        <f t="shared" si="38"/>
        <v>4542930.5</v>
      </c>
      <c r="AC304" s="108">
        <f t="shared" si="39"/>
        <v>1933857.4500000002</v>
      </c>
    </row>
    <row r="305" spans="1:29" x14ac:dyDescent="0.2">
      <c r="A305" s="124" t="s">
        <v>246</v>
      </c>
      <c r="B305" s="99">
        <f t="shared" si="32"/>
        <v>8.9880295787882506E-4</v>
      </c>
      <c r="C305" t="s">
        <v>621</v>
      </c>
      <c r="D305" s="99">
        <f t="shared" si="33"/>
        <v>4.4609665427509292E-2</v>
      </c>
      <c r="E305" s="123">
        <v>92460547</v>
      </c>
      <c r="F305" s="219">
        <v>32636</v>
      </c>
      <c r="G305" s="93">
        <v>32900</v>
      </c>
      <c r="H305" s="93">
        <v>1883</v>
      </c>
      <c r="I305" s="93">
        <v>4160</v>
      </c>
      <c r="J305" s="93">
        <v>1715</v>
      </c>
      <c r="K305" s="108">
        <f>(F305*138.66)*SUM(1,Macrogegevens!$C$4,0.5*Macrogegevens!$C$6,Macrogegevens!$C$8)</f>
        <v>4618981.630632</v>
      </c>
      <c r="L305" s="108">
        <f t="shared" si="34"/>
        <v>151871.29999999958</v>
      </c>
      <c r="M305" s="108">
        <v>11196654.114733016</v>
      </c>
      <c r="N305" s="108">
        <v>6942485.2918109447</v>
      </c>
      <c r="O305" s="108">
        <v>0</v>
      </c>
      <c r="P305" s="108">
        <f t="shared" si="35"/>
        <v>18139139.406543963</v>
      </c>
      <c r="Q305" s="108">
        <v>96425863</v>
      </c>
      <c r="R305" s="155">
        <v>425.5745750538664</v>
      </c>
      <c r="S305" s="122">
        <v>0.14680000000000001</v>
      </c>
      <c r="T305" s="122">
        <v>0.27179999999999999</v>
      </c>
      <c r="U305" s="122">
        <v>0.22320000000000001</v>
      </c>
      <c r="V305" s="122" t="s">
        <v>246</v>
      </c>
      <c r="W305" s="108">
        <v>1682800000</v>
      </c>
      <c r="X305" s="108">
        <v>274050000</v>
      </c>
      <c r="Y305" s="108">
        <v>306950000</v>
      </c>
      <c r="Z305" s="108">
        <f t="shared" si="36"/>
        <v>2470350.4000000004</v>
      </c>
      <c r="AA305" s="108">
        <f t="shared" si="37"/>
        <v>1429980.3</v>
      </c>
      <c r="AB305" s="108">
        <f t="shared" si="38"/>
        <v>4052202</v>
      </c>
      <c r="AC305" s="108">
        <f t="shared" si="39"/>
        <v>151871.29999999958</v>
      </c>
    </row>
    <row r="306" spans="1:29" x14ac:dyDescent="0.2">
      <c r="A306" s="124" t="s">
        <v>291</v>
      </c>
      <c r="B306" s="99">
        <f t="shared" si="32"/>
        <v>-1.4753454880145097E-3</v>
      </c>
      <c r="C306" t="s">
        <v>228</v>
      </c>
      <c r="D306" s="99">
        <f t="shared" si="33"/>
        <v>9.5588235294117641E-2</v>
      </c>
      <c r="E306" s="123">
        <v>32930349</v>
      </c>
      <c r="F306" s="219">
        <v>16418</v>
      </c>
      <c r="G306" s="93">
        <v>16200</v>
      </c>
      <c r="H306" s="93">
        <v>1496</v>
      </c>
      <c r="I306" s="93">
        <v>2840</v>
      </c>
      <c r="J306" s="93">
        <v>1210</v>
      </c>
      <c r="K306" s="108">
        <f>(F306*138.66)*SUM(1,Macrogegevens!$C$4,0.5*Macrogegevens!$C$6,Macrogegevens!$C$8)</f>
        <v>2323643.8415160002</v>
      </c>
      <c r="L306" s="108">
        <f t="shared" si="34"/>
        <v>1120896</v>
      </c>
      <c r="M306" s="108">
        <v>2748238.5944003998</v>
      </c>
      <c r="N306" s="108">
        <v>2417750.8334563198</v>
      </c>
      <c r="O306" s="108">
        <v>0</v>
      </c>
      <c r="P306" s="108">
        <f t="shared" si="35"/>
        <v>5165989.4278567191</v>
      </c>
      <c r="Q306" s="108">
        <v>34120173</v>
      </c>
      <c r="R306" s="155">
        <v>-938.77298334674674</v>
      </c>
      <c r="S306" s="122">
        <v>9.9400000000000002E-2</v>
      </c>
      <c r="T306" s="122">
        <v>0.14810000000000001</v>
      </c>
      <c r="U306" s="122">
        <v>0.1193</v>
      </c>
      <c r="V306" s="122" t="s">
        <v>291</v>
      </c>
      <c r="W306" s="108">
        <v>1050000000</v>
      </c>
      <c r="X306" s="108">
        <v>287000000</v>
      </c>
      <c r="Y306" s="108">
        <v>329000000</v>
      </c>
      <c r="Z306" s="108">
        <f t="shared" si="36"/>
        <v>1043700.0000000001</v>
      </c>
      <c r="AA306" s="108">
        <f t="shared" si="37"/>
        <v>817544</v>
      </c>
      <c r="AB306" s="108">
        <f t="shared" si="38"/>
        <v>2982140</v>
      </c>
      <c r="AC306" s="108">
        <f t="shared" si="39"/>
        <v>1120896</v>
      </c>
    </row>
    <row r="307" spans="1:29" x14ac:dyDescent="0.2">
      <c r="A307" s="124" t="s">
        <v>420</v>
      </c>
      <c r="B307" s="99">
        <f t="shared" si="32"/>
        <v>2.5628306878306877E-3</v>
      </c>
      <c r="C307" t="s">
        <v>228</v>
      </c>
      <c r="D307" s="99">
        <f t="shared" si="33"/>
        <v>9.1996320147194111E-4</v>
      </c>
      <c r="E307" s="123">
        <v>44022615</v>
      </c>
      <c r="F307" s="219">
        <v>21504</v>
      </c>
      <c r="G307" s="93">
        <v>22000</v>
      </c>
      <c r="H307" s="93">
        <v>1087</v>
      </c>
      <c r="I307" s="93">
        <v>2620</v>
      </c>
      <c r="J307" s="93">
        <v>1085</v>
      </c>
      <c r="K307" s="108">
        <f>(F307*138.66)*SUM(1,Macrogegevens!$C$4,0.5*Macrogegevens!$C$6,Macrogegevens!$C$8)</f>
        <v>3043466.7540480006</v>
      </c>
      <c r="L307" s="108">
        <f t="shared" si="34"/>
        <v>910027.39999999991</v>
      </c>
      <c r="M307" s="108">
        <v>5509926.2287093299</v>
      </c>
      <c r="N307" s="108">
        <v>2680079.3895364758</v>
      </c>
      <c r="O307" s="108">
        <v>0</v>
      </c>
      <c r="P307" s="108">
        <f t="shared" si="35"/>
        <v>8190005.6182458056</v>
      </c>
      <c r="Q307" s="108">
        <v>41366050</v>
      </c>
      <c r="R307" s="155">
        <v>3854.9403027169315</v>
      </c>
      <c r="S307" s="122">
        <v>0.12609999999999999</v>
      </c>
      <c r="T307" s="122">
        <v>0.1308</v>
      </c>
      <c r="U307" s="122">
        <v>0.1072</v>
      </c>
      <c r="V307" s="122" t="s">
        <v>420</v>
      </c>
      <c r="W307" s="108">
        <v>1300800000</v>
      </c>
      <c r="X307" s="108">
        <v>177800000</v>
      </c>
      <c r="Y307" s="108">
        <v>189700000</v>
      </c>
      <c r="Z307" s="108">
        <f t="shared" si="36"/>
        <v>1640308.8</v>
      </c>
      <c r="AA307" s="108">
        <f t="shared" si="37"/>
        <v>435920.8</v>
      </c>
      <c r="AB307" s="108">
        <f t="shared" si="38"/>
        <v>2986257</v>
      </c>
      <c r="AC307" s="108">
        <f t="shared" si="39"/>
        <v>910027.39999999991</v>
      </c>
    </row>
    <row r="308" spans="1:29" x14ac:dyDescent="0.2">
      <c r="A308" s="124" t="s">
        <v>561</v>
      </c>
      <c r="B308" s="99">
        <f t="shared" si="32"/>
        <v>-7.2074359299849084E-3</v>
      </c>
      <c r="C308" t="s">
        <v>228</v>
      </c>
      <c r="D308" s="99">
        <f t="shared" si="33"/>
        <v>3.2483302975106251E-2</v>
      </c>
      <c r="E308" s="123">
        <v>43711812</v>
      </c>
      <c r="F308" s="219">
        <v>23633</v>
      </c>
      <c r="G308" s="93">
        <v>22100</v>
      </c>
      <c r="H308" s="93">
        <v>1647</v>
      </c>
      <c r="I308" s="93">
        <v>3655</v>
      </c>
      <c r="J308" s="93">
        <v>1540</v>
      </c>
      <c r="K308" s="108">
        <f>(F308*138.66)*SUM(1,Macrogegevens!$C$4,0.5*Macrogegevens!$C$6,Macrogegevens!$C$8)</f>
        <v>3344784.6818460003</v>
      </c>
      <c r="L308" s="108">
        <f t="shared" si="34"/>
        <v>1179480.8</v>
      </c>
      <c r="M308" s="108">
        <v>5007560.0909703784</v>
      </c>
      <c r="N308" s="108">
        <v>2828951.7652730593</v>
      </c>
      <c r="O308" s="108">
        <v>0</v>
      </c>
      <c r="P308" s="108">
        <f t="shared" si="35"/>
        <v>7836511.8562434372</v>
      </c>
      <c r="Q308" s="108">
        <v>46539540</v>
      </c>
      <c r="R308" s="155">
        <v>-262.31484671029966</v>
      </c>
      <c r="S308" s="122">
        <v>0.127</v>
      </c>
      <c r="T308" s="122">
        <v>0.14660000000000001</v>
      </c>
      <c r="U308" s="122">
        <v>0.1183</v>
      </c>
      <c r="V308" s="122" t="s">
        <v>561</v>
      </c>
      <c r="W308" s="108">
        <v>1617200000</v>
      </c>
      <c r="X308" s="108">
        <v>336700000</v>
      </c>
      <c r="Y308" s="108">
        <v>378000000</v>
      </c>
      <c r="Z308" s="108">
        <f t="shared" si="36"/>
        <v>2053844.0000000002</v>
      </c>
      <c r="AA308" s="108">
        <f t="shared" si="37"/>
        <v>940776.2</v>
      </c>
      <c r="AB308" s="108">
        <f t="shared" si="38"/>
        <v>4174101</v>
      </c>
      <c r="AC308" s="108">
        <f t="shared" si="39"/>
        <v>1179480.8</v>
      </c>
    </row>
    <row r="309" spans="1:29" x14ac:dyDescent="0.2">
      <c r="A309" s="124" t="s">
        <v>292</v>
      </c>
      <c r="B309" s="99">
        <f t="shared" si="32"/>
        <v>4.6108783813322432E-3</v>
      </c>
      <c r="C309" t="s">
        <v>228</v>
      </c>
      <c r="D309" s="99">
        <f t="shared" si="33"/>
        <v>2.332498434564809E-2</v>
      </c>
      <c r="E309" s="123">
        <v>116975000</v>
      </c>
      <c r="F309" s="219">
        <v>43207</v>
      </c>
      <c r="G309" s="93">
        <v>45000</v>
      </c>
      <c r="H309" s="93">
        <v>3194</v>
      </c>
      <c r="I309" s="93">
        <v>7325</v>
      </c>
      <c r="J309" s="93">
        <v>3045</v>
      </c>
      <c r="K309" s="108">
        <f>(F309*138.66)*SUM(1,Macrogegevens!$C$4,0.5*Macrogegevens!$C$6,Macrogegevens!$C$8)</f>
        <v>6115098.0302340006</v>
      </c>
      <c r="L309" s="108">
        <f t="shared" si="34"/>
        <v>2638758.5500000003</v>
      </c>
      <c r="M309" s="108">
        <v>9640704.7259029504</v>
      </c>
      <c r="N309" s="108">
        <v>7998052.3652647613</v>
      </c>
      <c r="O309" s="108">
        <v>0</v>
      </c>
      <c r="P309" s="108">
        <f t="shared" si="35"/>
        <v>17638757.091167711</v>
      </c>
      <c r="Q309" s="108">
        <v>121785000</v>
      </c>
      <c r="R309" s="155">
        <v>1096.6256248842808</v>
      </c>
      <c r="S309" s="122">
        <v>0.1052</v>
      </c>
      <c r="T309" s="122">
        <v>0.1777</v>
      </c>
      <c r="U309" s="122">
        <v>0.14369999999999999</v>
      </c>
      <c r="V309" s="122" t="s">
        <v>292</v>
      </c>
      <c r="W309" s="108">
        <v>3222000000</v>
      </c>
      <c r="X309" s="108">
        <v>635600000</v>
      </c>
      <c r="Y309" s="108">
        <v>715750000</v>
      </c>
      <c r="Z309" s="108">
        <f t="shared" si="36"/>
        <v>3389544</v>
      </c>
      <c r="AA309" s="108">
        <f t="shared" si="37"/>
        <v>2157993.9499999997</v>
      </c>
      <c r="AB309" s="108">
        <f t="shared" si="38"/>
        <v>8186296.5</v>
      </c>
      <c r="AC309" s="108">
        <f t="shared" si="39"/>
        <v>2638758.5500000003</v>
      </c>
    </row>
    <row r="310" spans="1:29" x14ac:dyDescent="0.2">
      <c r="A310" s="125" t="s">
        <v>599</v>
      </c>
      <c r="B310" s="99">
        <f t="shared" si="32"/>
        <v>-2.3476980621543113E-3</v>
      </c>
      <c r="C310" t="s">
        <v>228</v>
      </c>
      <c r="D310" s="99">
        <f t="shared" si="33"/>
        <v>3.7684537684537688E-2</v>
      </c>
      <c r="E310" s="123">
        <v>82647000</v>
      </c>
      <c r="F310" s="219">
        <v>25131</v>
      </c>
      <c r="G310" s="93">
        <v>24600</v>
      </c>
      <c r="H310" s="93">
        <v>1287</v>
      </c>
      <c r="I310" s="93">
        <v>2845</v>
      </c>
      <c r="J310" s="93">
        <v>1190</v>
      </c>
      <c r="K310" s="108">
        <f>(F310*138.66)*SUM(1,Macrogegevens!$C$4,0.5*Macrogegevens!$C$6,Macrogegevens!$C$8)</f>
        <v>3556797.0143220006</v>
      </c>
      <c r="L310" s="108">
        <f t="shared" si="34"/>
        <v>111925.80000000028</v>
      </c>
      <c r="M310" s="108">
        <v>5773520.046088024</v>
      </c>
      <c r="N310" s="108">
        <v>3905956.010805646</v>
      </c>
      <c r="O310" s="108">
        <v>0</v>
      </c>
      <c r="P310" s="108">
        <f t="shared" si="35"/>
        <v>9679476.0568936691</v>
      </c>
      <c r="Q310" s="108">
        <v>83980000</v>
      </c>
      <c r="R310" s="155">
        <v>1639.0760721380439</v>
      </c>
      <c r="S310" s="122">
        <v>0.1573</v>
      </c>
      <c r="T310" s="122">
        <v>0.25519999999999998</v>
      </c>
      <c r="U310" s="122">
        <v>0.2109</v>
      </c>
      <c r="V310" s="122" t="s">
        <v>599</v>
      </c>
      <c r="W310" s="108">
        <v>1626400000</v>
      </c>
      <c r="X310" s="108">
        <v>218400000</v>
      </c>
      <c r="Y310" s="108">
        <v>233800000</v>
      </c>
      <c r="Z310" s="108">
        <f t="shared" si="36"/>
        <v>2558327.1999999997</v>
      </c>
      <c r="AA310" s="108">
        <f t="shared" si="37"/>
        <v>1050441</v>
      </c>
      <c r="AB310" s="108">
        <f t="shared" si="38"/>
        <v>3720694</v>
      </c>
      <c r="AC310" s="108">
        <f t="shared" si="39"/>
        <v>111925.80000000028</v>
      </c>
    </row>
    <row r="311" spans="1:29" x14ac:dyDescent="0.2">
      <c r="A311" s="124" t="s">
        <v>371</v>
      </c>
      <c r="B311" s="99">
        <f t="shared" si="32"/>
        <v>2.1930967847324317E-3</v>
      </c>
      <c r="C311" t="s">
        <v>689</v>
      </c>
      <c r="D311" s="99">
        <f t="shared" si="33"/>
        <v>3.3404029692470839E-2</v>
      </c>
      <c r="E311" s="123">
        <v>102051097</v>
      </c>
      <c r="F311" s="219">
        <v>63938</v>
      </c>
      <c r="G311" s="93">
        <v>65200</v>
      </c>
      <c r="H311" s="93">
        <v>4715</v>
      </c>
      <c r="I311" s="93">
        <v>11115</v>
      </c>
      <c r="J311" s="93">
        <v>4400</v>
      </c>
      <c r="K311" s="108">
        <f>(F311*138.66)*SUM(1,Macrogegevens!$C$4,0.5*Macrogegevens!$C$6,Macrogegevens!$C$8)</f>
        <v>9049161.8917560019</v>
      </c>
      <c r="L311" s="108">
        <f t="shared" si="34"/>
        <v>3356479.8899999997</v>
      </c>
      <c r="M311" s="108">
        <v>10830751.317950239</v>
      </c>
      <c r="N311" s="108">
        <v>6691205.9966292549</v>
      </c>
      <c r="O311" s="108">
        <v>0</v>
      </c>
      <c r="P311" s="108">
        <f t="shared" si="35"/>
        <v>17521957.314579494</v>
      </c>
      <c r="Q311" s="108">
        <v>102133217</v>
      </c>
      <c r="R311" s="155">
        <v>1075.3931092319519</v>
      </c>
      <c r="S311" s="122">
        <v>0.12759999999999999</v>
      </c>
      <c r="T311" s="122">
        <v>0.17169999999999999</v>
      </c>
      <c r="U311" s="122">
        <v>0.12998000000000001</v>
      </c>
      <c r="V311" s="122" t="s">
        <v>371</v>
      </c>
      <c r="W311" s="108">
        <v>5739200000</v>
      </c>
      <c r="X311" s="108">
        <v>687400000</v>
      </c>
      <c r="Y311" s="108">
        <v>726950000</v>
      </c>
      <c r="Z311" s="108">
        <f t="shared" si="36"/>
        <v>7323219.2000000002</v>
      </c>
      <c r="AA311" s="108">
        <f t="shared" si="37"/>
        <v>2125155.41</v>
      </c>
      <c r="AB311" s="108">
        <f t="shared" si="38"/>
        <v>12804854.5</v>
      </c>
      <c r="AC311" s="108">
        <f t="shared" si="39"/>
        <v>3356479.8899999997</v>
      </c>
    </row>
    <row r="312" spans="1:29" x14ac:dyDescent="0.2">
      <c r="A312" s="124" t="s">
        <v>482</v>
      </c>
      <c r="B312" s="99">
        <f t="shared" si="32"/>
        <v>-4.052917335780378E-3</v>
      </c>
      <c r="C312" t="s">
        <v>689</v>
      </c>
      <c r="D312" s="99">
        <f t="shared" si="33"/>
        <v>4.8611111111111112E-2</v>
      </c>
      <c r="E312" s="123">
        <v>15152450</v>
      </c>
      <c r="F312" s="219">
        <v>8718</v>
      </c>
      <c r="G312" s="93">
        <v>8400</v>
      </c>
      <c r="H312" s="93">
        <v>720</v>
      </c>
      <c r="I312" s="93">
        <v>1670</v>
      </c>
      <c r="J312" s="93">
        <v>650</v>
      </c>
      <c r="K312" s="108">
        <f>(F312*138.66)*SUM(1,Macrogegevens!$C$4,0.5*Macrogegevens!$C$6,Macrogegevens!$C$8)</f>
        <v>1233860.824116</v>
      </c>
      <c r="L312" s="108">
        <f t="shared" si="34"/>
        <v>674592.10000000009</v>
      </c>
      <c r="M312" s="108">
        <v>1737469.2776530196</v>
      </c>
      <c r="N312" s="108">
        <v>1210146.3691290549</v>
      </c>
      <c r="O312" s="108">
        <v>0</v>
      </c>
      <c r="P312" s="108">
        <f t="shared" si="35"/>
        <v>2947615.6467820746</v>
      </c>
      <c r="Q312" s="108">
        <v>15771073</v>
      </c>
      <c r="R312" s="155">
        <v>2046.6576940331988</v>
      </c>
      <c r="S312" s="122">
        <v>8.8200000000000001E-2</v>
      </c>
      <c r="T312" s="122">
        <v>0.16889999999999999</v>
      </c>
      <c r="U312" s="122">
        <v>0.1386</v>
      </c>
      <c r="V312" s="122" t="s">
        <v>482</v>
      </c>
      <c r="W312" s="108">
        <v>663600000</v>
      </c>
      <c r="X312" s="108">
        <v>136500000</v>
      </c>
      <c r="Y312" s="108">
        <v>144200000</v>
      </c>
      <c r="Z312" s="108">
        <f t="shared" si="36"/>
        <v>585295.19999999995</v>
      </c>
      <c r="AA312" s="108">
        <f t="shared" si="37"/>
        <v>430409.7</v>
      </c>
      <c r="AB312" s="108">
        <f t="shared" si="38"/>
        <v>1690297</v>
      </c>
      <c r="AC312" s="108">
        <f t="shared" si="39"/>
        <v>674592.10000000009</v>
      </c>
    </row>
    <row r="313" spans="1:29" x14ac:dyDescent="0.2">
      <c r="A313" s="125" t="s">
        <v>620</v>
      </c>
      <c r="B313" s="99">
        <f t="shared" si="32"/>
        <v>1.22554360386416E-3</v>
      </c>
      <c r="C313" t="s">
        <v>228</v>
      </c>
      <c r="D313" s="99">
        <f t="shared" si="33"/>
        <v>5.70525365045913E-2</v>
      </c>
      <c r="E313" s="123">
        <v>212846871</v>
      </c>
      <c r="F313" s="219">
        <v>84135</v>
      </c>
      <c r="G313" s="93">
        <v>85063</v>
      </c>
      <c r="H313" s="93">
        <v>6643</v>
      </c>
      <c r="I313" s="93">
        <v>15101</v>
      </c>
      <c r="J313" s="93">
        <v>5885</v>
      </c>
      <c r="K313" s="108">
        <f>(F313*138.66)*SUM(1,Macrogegevens!$C$4,0.5*Macrogegevens!$C$6,Macrogegevens!$C$8)</f>
        <v>11907648.593370002</v>
      </c>
      <c r="L313" s="108">
        <f t="shared" si="34"/>
        <v>2710082.8059999999</v>
      </c>
      <c r="M313" s="108">
        <v>18159792.933329564</v>
      </c>
      <c r="N313" s="108">
        <v>14812374.723898603</v>
      </c>
      <c r="O313" s="108">
        <v>0</v>
      </c>
      <c r="P313" s="108">
        <f t="shared" si="35"/>
        <v>32972167.657228164</v>
      </c>
      <c r="Q313" s="108">
        <v>223332623</v>
      </c>
      <c r="R313" s="155">
        <v>1749</v>
      </c>
      <c r="S313" s="122">
        <v>0.1318</v>
      </c>
      <c r="T313" s="122">
        <v>0.19819999999999999</v>
      </c>
      <c r="U313" s="122">
        <v>0.15859999999999999</v>
      </c>
      <c r="V313" s="122" t="s">
        <v>634</v>
      </c>
      <c r="W313" s="108">
        <v>5647648000</v>
      </c>
      <c r="X313" s="108">
        <v>1402236500</v>
      </c>
      <c r="Y313" s="108">
        <v>1537364500</v>
      </c>
      <c r="Z313" s="108">
        <f t="shared" si="36"/>
        <v>7443600.0639999993</v>
      </c>
      <c r="AA313" s="108">
        <f t="shared" si="37"/>
        <v>5217492.84</v>
      </c>
      <c r="AB313" s="108">
        <f t="shared" si="38"/>
        <v>15371175.709999999</v>
      </c>
      <c r="AC313" s="108">
        <f t="shared" si="39"/>
        <v>2710082.8059999999</v>
      </c>
    </row>
    <row r="314" spans="1:29" x14ac:dyDescent="0.2">
      <c r="A314" s="124" t="s">
        <v>247</v>
      </c>
      <c r="B314" s="99">
        <f t="shared" si="32"/>
        <v>6.8568702859016781E-4</v>
      </c>
      <c r="C314" t="s">
        <v>689</v>
      </c>
      <c r="D314" s="99">
        <f t="shared" si="33"/>
        <v>7.2301425661914456E-2</v>
      </c>
      <c r="E314" s="123">
        <v>13313944</v>
      </c>
      <c r="F314" s="219">
        <v>7454</v>
      </c>
      <c r="G314" s="93">
        <v>7500</v>
      </c>
      <c r="H314" s="93">
        <v>491</v>
      </c>
      <c r="I314" s="93">
        <v>945</v>
      </c>
      <c r="J314" s="93">
        <v>420</v>
      </c>
      <c r="K314" s="108">
        <f>(F314*138.66)*SUM(1,Macrogegevens!$C$4,0.5*Macrogegevens!$C$6,Macrogegevens!$C$8)</f>
        <v>1054966.5729480002</v>
      </c>
      <c r="L314" s="108">
        <f t="shared" si="34"/>
        <v>0</v>
      </c>
      <c r="M314" s="108">
        <v>1887515.0755218382</v>
      </c>
      <c r="N314" s="108">
        <v>596898.2270375184</v>
      </c>
      <c r="O314" s="108">
        <v>0</v>
      </c>
      <c r="P314" s="108">
        <f t="shared" si="35"/>
        <v>2484413.3025593567</v>
      </c>
      <c r="Q314" s="108">
        <v>13677036</v>
      </c>
      <c r="R314" s="155">
        <v>4214.6223239531437</v>
      </c>
      <c r="S314" s="122">
        <v>0.16789999999999999</v>
      </c>
      <c r="T314" s="122">
        <v>0.29959999999999998</v>
      </c>
      <c r="U314" s="122">
        <v>0.22389999999999999</v>
      </c>
      <c r="V314" s="122" t="s">
        <v>247</v>
      </c>
      <c r="W314" s="108">
        <v>398400000</v>
      </c>
      <c r="X314" s="108">
        <v>74900000</v>
      </c>
      <c r="Y314" s="108">
        <v>86450000</v>
      </c>
      <c r="Z314" s="108">
        <f t="shared" si="36"/>
        <v>668913.6</v>
      </c>
      <c r="AA314" s="108">
        <f t="shared" si="37"/>
        <v>417961.94999999995</v>
      </c>
      <c r="AB314" s="108">
        <f t="shared" si="38"/>
        <v>1001952.5</v>
      </c>
      <c r="AC314" s="108">
        <f t="shared" si="39"/>
        <v>-84923.04999999993</v>
      </c>
    </row>
    <row r="315" spans="1:29" x14ac:dyDescent="0.2">
      <c r="A315" s="124" t="s">
        <v>505</v>
      </c>
      <c r="B315" s="99">
        <f t="shared" ref="B315:B376" si="40">SUM(G315,-F315)/(F315*9)</f>
        <v>-2.1706638647590887E-3</v>
      </c>
      <c r="C315" t="s">
        <v>228</v>
      </c>
      <c r="D315" s="99">
        <f t="shared" ref="D315:D376" si="41">SUM(H315,-J315)/(H315*2)</f>
        <v>5.8320373250388802E-2</v>
      </c>
      <c r="E315" s="123">
        <v>132799000</v>
      </c>
      <c r="F315" s="219">
        <v>54566</v>
      </c>
      <c r="G315" s="93">
        <v>53500</v>
      </c>
      <c r="H315" s="93">
        <v>3215</v>
      </c>
      <c r="I315" s="93">
        <v>6915</v>
      </c>
      <c r="J315" s="93">
        <v>2840</v>
      </c>
      <c r="K315" s="108">
        <f>(F315*138.66)*SUM(1,Macrogegevens!$C$4,0.5*Macrogegevens!$C$6,Macrogegevens!$C$8)</f>
        <v>7722740.2762920009</v>
      </c>
      <c r="L315" s="108">
        <f t="shared" si="34"/>
        <v>113736</v>
      </c>
      <c r="M315" s="108">
        <v>13313349.360816414</v>
      </c>
      <c r="N315" s="108">
        <v>8651422.5304236859</v>
      </c>
      <c r="O315" s="108">
        <v>0</v>
      </c>
      <c r="P315" s="108">
        <f t="shared" ref="P315:P376" si="42">SUM(M315,N315,O315)</f>
        <v>21964771.891240098</v>
      </c>
      <c r="Q315" s="108">
        <v>134944000</v>
      </c>
      <c r="R315" s="155">
        <v>2659.9365866102994</v>
      </c>
      <c r="S315" s="122">
        <v>0.1384</v>
      </c>
      <c r="T315" s="122">
        <v>0.24779999999999999</v>
      </c>
      <c r="U315" s="122">
        <v>0.1988</v>
      </c>
      <c r="V315" s="122" t="s">
        <v>505</v>
      </c>
      <c r="W315" s="108">
        <v>3227600000</v>
      </c>
      <c r="X315" s="108">
        <v>1338050000</v>
      </c>
      <c r="Y315" s="108">
        <v>1394400000</v>
      </c>
      <c r="Z315" s="108">
        <f t="shared" ref="Z315:Z376" si="43">S315/100*W315</f>
        <v>4466998.4000000004</v>
      </c>
      <c r="AA315" s="108">
        <f t="shared" ref="AA315:AA376" si="44">SUM(T315/100*X315,U315/100*Y315)</f>
        <v>6087755.0999999996</v>
      </c>
      <c r="AB315" s="108">
        <f t="shared" ref="AB315:AB376" si="45">(0.179/100)*SUM(W315,X315,Y315)</f>
        <v>10668489.5</v>
      </c>
      <c r="AC315" s="108">
        <f t="shared" ref="AC315:AC376" si="46">SUM(AB315,-Z315,-AA315)</f>
        <v>113736</v>
      </c>
    </row>
    <row r="316" spans="1:29" x14ac:dyDescent="0.2">
      <c r="A316" s="124" t="s">
        <v>270</v>
      </c>
      <c r="B316" s="99">
        <f t="shared" si="40"/>
        <v>1.0963700018426387E-2</v>
      </c>
      <c r="C316" t="s">
        <v>689</v>
      </c>
      <c r="D316" s="99">
        <f t="shared" si="41"/>
        <v>3.2967032967032968E-2</v>
      </c>
      <c r="E316" s="123">
        <v>19306042</v>
      </c>
      <c r="F316" s="219">
        <v>4824</v>
      </c>
      <c r="G316" s="93">
        <v>5300</v>
      </c>
      <c r="H316" s="93">
        <v>546</v>
      </c>
      <c r="I316" s="93">
        <v>1440</v>
      </c>
      <c r="J316" s="93">
        <v>510</v>
      </c>
      <c r="K316" s="108">
        <f>(F316*138.66)*SUM(1,Macrogegevens!$C$4,0.5*Macrogegevens!$C$6,Macrogegevens!$C$8)</f>
        <v>682741.98388800013</v>
      </c>
      <c r="L316" s="108">
        <f t="shared" ref="L316:L377" si="47">IF(AC316&gt;0,AC316,0)</f>
        <v>791756</v>
      </c>
      <c r="M316" s="108">
        <v>1039989.8024606223</v>
      </c>
      <c r="N316" s="108">
        <v>377877.17356159294</v>
      </c>
      <c r="O316" s="108">
        <v>0</v>
      </c>
      <c r="P316" s="108">
        <f t="shared" si="42"/>
        <v>1417866.9760222151</v>
      </c>
      <c r="Q316" s="108">
        <v>20525251</v>
      </c>
      <c r="R316" s="155">
        <v>2198.6055356010988</v>
      </c>
      <c r="S316" s="122">
        <v>8.7999999999999995E-2</v>
      </c>
      <c r="T316" s="122">
        <v>0.13300000000000001</v>
      </c>
      <c r="U316" s="122">
        <v>0.107</v>
      </c>
      <c r="V316" s="122" t="s">
        <v>270</v>
      </c>
      <c r="W316" s="108">
        <v>671600000</v>
      </c>
      <c r="X316" s="108">
        <v>142800000</v>
      </c>
      <c r="Y316" s="108">
        <v>159600000</v>
      </c>
      <c r="Z316" s="108">
        <f t="shared" si="43"/>
        <v>591008</v>
      </c>
      <c r="AA316" s="108">
        <f t="shared" si="44"/>
        <v>360696</v>
      </c>
      <c r="AB316" s="108">
        <f t="shared" si="45"/>
        <v>1743460</v>
      </c>
      <c r="AC316" s="108">
        <f t="shared" si="46"/>
        <v>791756</v>
      </c>
    </row>
    <row r="317" spans="1:29" x14ac:dyDescent="0.2">
      <c r="A317" s="124" t="s">
        <v>421</v>
      </c>
      <c r="B317" s="99">
        <f t="shared" si="40"/>
        <v>-1.4888987058034326E-3</v>
      </c>
      <c r="C317" t="s">
        <v>228</v>
      </c>
      <c r="D317" s="99">
        <f t="shared" si="41"/>
        <v>5.0805452292441142E-2</v>
      </c>
      <c r="E317" s="123">
        <v>56028000</v>
      </c>
      <c r="F317" s="219">
        <v>13582</v>
      </c>
      <c r="G317" s="93">
        <v>13400</v>
      </c>
      <c r="H317" s="93">
        <v>1614</v>
      </c>
      <c r="I317" s="93">
        <v>3760</v>
      </c>
      <c r="J317" s="93">
        <v>1450</v>
      </c>
      <c r="K317" s="108">
        <f>(F317*138.66)*SUM(1,Macrogegevens!$C$4,0.5*Macrogegevens!$C$6,Macrogegevens!$C$8)</f>
        <v>1922264.0184840001</v>
      </c>
      <c r="L317" s="108">
        <f t="shared" si="47"/>
        <v>3324354.95</v>
      </c>
      <c r="M317" s="108">
        <v>2166438.8898195615</v>
      </c>
      <c r="N317" s="108">
        <v>1650594.8112607622</v>
      </c>
      <c r="O317" s="108">
        <v>0</v>
      </c>
      <c r="P317" s="108">
        <f t="shared" si="42"/>
        <v>3817033.7010803237</v>
      </c>
      <c r="Q317" s="108">
        <v>54072000</v>
      </c>
      <c r="R317" s="155">
        <v>2177.9519558748821</v>
      </c>
      <c r="S317" s="122">
        <v>4.5100000000000001E-2</v>
      </c>
      <c r="T317" s="122">
        <v>7.17E-2</v>
      </c>
      <c r="U317" s="122">
        <v>5.6599999999999998E-2</v>
      </c>
      <c r="V317" s="122" t="s">
        <v>421</v>
      </c>
      <c r="W317" s="108">
        <v>1685600000</v>
      </c>
      <c r="X317" s="108">
        <v>444150000</v>
      </c>
      <c r="Y317" s="108">
        <v>482649999.99999994</v>
      </c>
      <c r="Z317" s="108">
        <f t="shared" si="43"/>
        <v>760205.6</v>
      </c>
      <c r="AA317" s="108">
        <f t="shared" si="44"/>
        <v>591635.44999999995</v>
      </c>
      <c r="AB317" s="108">
        <f t="shared" si="45"/>
        <v>4676196</v>
      </c>
      <c r="AC317" s="108">
        <f t="shared" si="46"/>
        <v>3324354.95</v>
      </c>
    </row>
    <row r="318" spans="1:29" x14ac:dyDescent="0.2">
      <c r="A318" s="124" t="s">
        <v>483</v>
      </c>
      <c r="B318" s="99">
        <f t="shared" si="40"/>
        <v>-2.9760513563626733E-3</v>
      </c>
      <c r="C318" t="s">
        <v>228</v>
      </c>
      <c r="D318" s="99">
        <f t="shared" si="41"/>
        <v>1.9273371732388127E-2</v>
      </c>
      <c r="E318" s="123">
        <v>61325490</v>
      </c>
      <c r="F318" s="219">
        <v>35655</v>
      </c>
      <c r="G318" s="93">
        <v>34700</v>
      </c>
      <c r="H318" s="93">
        <v>2257</v>
      </c>
      <c r="I318" s="93">
        <v>5510</v>
      </c>
      <c r="J318" s="93">
        <v>2170</v>
      </c>
      <c r="K318" s="108">
        <f>(F318*138.66)*SUM(1,Macrogegevens!$C$4,0.5*Macrogegevens!$C$6,Macrogegevens!$C$8)</f>
        <v>5046261.4916100008</v>
      </c>
      <c r="L318" s="108">
        <f t="shared" si="47"/>
        <v>3989658.0500000003</v>
      </c>
      <c r="M318" s="108">
        <v>7170963.5023618396</v>
      </c>
      <c r="N318" s="108">
        <v>4475861.8992112419</v>
      </c>
      <c r="O318" s="108">
        <v>0</v>
      </c>
      <c r="P318" s="108">
        <f t="shared" si="42"/>
        <v>11646825.401573081</v>
      </c>
      <c r="Q318" s="108">
        <v>63981751</v>
      </c>
      <c r="R318" s="155">
        <v>188.00861321625325</v>
      </c>
      <c r="S318" s="122">
        <v>7.6600000000000001E-2</v>
      </c>
      <c r="T318" s="122">
        <v>0.1404</v>
      </c>
      <c r="U318" s="122">
        <v>0.1125</v>
      </c>
      <c r="V318" s="122" t="s">
        <v>483</v>
      </c>
      <c r="W318" s="108">
        <v>3376800000</v>
      </c>
      <c r="X318" s="108">
        <v>495599999.99999994</v>
      </c>
      <c r="Y318" s="108">
        <v>512049999.99999994</v>
      </c>
      <c r="Z318" s="108">
        <f t="shared" si="43"/>
        <v>2586628.7999999998</v>
      </c>
      <c r="AA318" s="108">
        <f t="shared" si="44"/>
        <v>1271878.6499999999</v>
      </c>
      <c r="AB318" s="108">
        <f t="shared" si="45"/>
        <v>7848165.5</v>
      </c>
      <c r="AC318" s="108">
        <f t="shared" si="46"/>
        <v>3989658.0500000003</v>
      </c>
    </row>
    <row r="319" spans="1:29" x14ac:dyDescent="0.2">
      <c r="A319" s="124" t="s">
        <v>506</v>
      </c>
      <c r="B319" s="99">
        <f t="shared" si="40"/>
        <v>2.4413785272242093E-3</v>
      </c>
      <c r="C319" t="s">
        <v>689</v>
      </c>
      <c r="D319" s="99">
        <f t="shared" si="41"/>
        <v>3.9850917431192658E-2</v>
      </c>
      <c r="E319" s="123">
        <v>55439861</v>
      </c>
      <c r="F319" s="219">
        <v>25441</v>
      </c>
      <c r="G319" s="93">
        <v>26000</v>
      </c>
      <c r="H319" s="93">
        <v>1744</v>
      </c>
      <c r="I319" s="93">
        <v>3875</v>
      </c>
      <c r="J319" s="93">
        <v>1605</v>
      </c>
      <c r="K319" s="108">
        <f>(F319*138.66)*SUM(1,Macrogegevens!$C$4,0.5*Macrogegevens!$C$6,Macrogegevens!$C$8)</f>
        <v>3600671.3955420004</v>
      </c>
      <c r="L319" s="108">
        <f t="shared" si="47"/>
        <v>1217916.3</v>
      </c>
      <c r="M319" s="108">
        <v>5743510.0652950918</v>
      </c>
      <c r="N319" s="108">
        <v>2764827.0126504637</v>
      </c>
      <c r="O319" s="108">
        <v>0</v>
      </c>
      <c r="P319" s="108">
        <f t="shared" si="42"/>
        <v>8508337.0779455565</v>
      </c>
      <c r="Q319" s="108">
        <v>56661835</v>
      </c>
      <c r="R319" s="155">
        <v>1125.5411255411254</v>
      </c>
      <c r="S319" s="122">
        <v>0.1061</v>
      </c>
      <c r="T319" s="122">
        <v>0.18099999999999999</v>
      </c>
      <c r="U319" s="122">
        <v>0.14630000000000001</v>
      </c>
      <c r="V319" s="122" t="s">
        <v>506</v>
      </c>
      <c r="W319" s="108">
        <v>1520000000</v>
      </c>
      <c r="X319" s="108">
        <v>310800000</v>
      </c>
      <c r="Y319" s="108">
        <v>354900000</v>
      </c>
      <c r="Z319" s="108">
        <f t="shared" si="43"/>
        <v>1612720.0000000002</v>
      </c>
      <c r="AA319" s="108">
        <f t="shared" si="44"/>
        <v>1081766.7</v>
      </c>
      <c r="AB319" s="108">
        <f t="shared" si="45"/>
        <v>3912403</v>
      </c>
      <c r="AC319" s="108">
        <f t="shared" si="46"/>
        <v>1217916.3</v>
      </c>
    </row>
    <row r="320" spans="1:29" x14ac:dyDescent="0.2">
      <c r="A320" s="124" t="s">
        <v>343</v>
      </c>
      <c r="B320" s="99">
        <f t="shared" si="40"/>
        <v>7.5242614680860161E-3</v>
      </c>
      <c r="C320" t="s">
        <v>621</v>
      </c>
      <c r="D320" s="99">
        <f t="shared" si="41"/>
        <v>3.0783582089552237E-2</v>
      </c>
      <c r="E320" s="123">
        <v>106630598</v>
      </c>
      <c r="F320" s="219">
        <v>41584</v>
      </c>
      <c r="G320" s="93">
        <v>44400</v>
      </c>
      <c r="H320" s="93">
        <v>2680</v>
      </c>
      <c r="I320" s="93">
        <v>6325</v>
      </c>
      <c r="J320" s="93">
        <v>2515</v>
      </c>
      <c r="K320" s="108">
        <f>(F320*138.66)*SUM(1,Macrogegevens!$C$4,0.5*Macrogegevens!$C$6,Macrogegevens!$C$8)</f>
        <v>5885394.4150080001</v>
      </c>
      <c r="L320" s="108">
        <f t="shared" si="47"/>
        <v>1725239.6</v>
      </c>
      <c r="M320" s="108">
        <v>10845054.018693792</v>
      </c>
      <c r="N320" s="108">
        <v>4996025.7940092068</v>
      </c>
      <c r="O320" s="108">
        <v>0</v>
      </c>
      <c r="P320" s="108">
        <f t="shared" si="42"/>
        <v>15841079.812702999</v>
      </c>
      <c r="Q320" s="108">
        <v>105917211</v>
      </c>
      <c r="R320" s="155">
        <v>1725.2379102738396</v>
      </c>
      <c r="S320" s="122">
        <v>0.1099</v>
      </c>
      <c r="T320" s="122">
        <v>0.21709999999999999</v>
      </c>
      <c r="U320" s="122">
        <v>0.16370000000000001</v>
      </c>
      <c r="V320" s="122" t="s">
        <v>343</v>
      </c>
      <c r="W320" s="108">
        <v>2685200000</v>
      </c>
      <c r="X320" s="108">
        <v>589050000</v>
      </c>
      <c r="Y320" s="108">
        <v>615650000</v>
      </c>
      <c r="Z320" s="108">
        <f t="shared" si="43"/>
        <v>2951034.8</v>
      </c>
      <c r="AA320" s="108">
        <f t="shared" si="44"/>
        <v>2286646.6</v>
      </c>
      <c r="AB320" s="108">
        <f t="shared" si="45"/>
        <v>6962921</v>
      </c>
      <c r="AC320" s="108">
        <f t="shared" si="46"/>
        <v>1725239.6</v>
      </c>
    </row>
    <row r="321" spans="1:29" x14ac:dyDescent="0.2">
      <c r="A321" s="124" t="s">
        <v>562</v>
      </c>
      <c r="B321" s="99">
        <f t="shared" si="40"/>
        <v>4.5771156819251193E-3</v>
      </c>
      <c r="C321" t="s">
        <v>621</v>
      </c>
      <c r="D321" s="99">
        <f t="shared" si="41"/>
        <v>3.0073561228905237E-2</v>
      </c>
      <c r="E321" s="123">
        <v>714340000</v>
      </c>
      <c r="F321" s="219">
        <v>211584</v>
      </c>
      <c r="G321" s="93">
        <v>220300</v>
      </c>
      <c r="H321" s="93">
        <v>11555</v>
      </c>
      <c r="I321" s="93">
        <v>27455</v>
      </c>
      <c r="J321" s="93">
        <v>10860</v>
      </c>
      <c r="K321" s="108">
        <f>(F321*138.66)*SUM(1,Macrogegevens!$C$4,0.5*Macrogegevens!$C$6,Macrogegevens!$C$8)</f>
        <v>29945538.955008004</v>
      </c>
      <c r="L321" s="108">
        <f t="shared" si="47"/>
        <v>11348592.5</v>
      </c>
      <c r="M321" s="108">
        <v>55731806.330315895</v>
      </c>
      <c r="N321" s="108">
        <v>26638450.058266364</v>
      </c>
      <c r="O321" s="108">
        <v>40671175.449914232</v>
      </c>
      <c r="P321" s="108">
        <f t="shared" si="42"/>
        <v>123041431.83849649</v>
      </c>
      <c r="Q321" s="108">
        <v>667037000</v>
      </c>
      <c r="R321" s="155">
        <v>508.92103117845477</v>
      </c>
      <c r="S321" s="122">
        <v>0.1019</v>
      </c>
      <c r="T321" s="122">
        <v>0.18720000000000001</v>
      </c>
      <c r="U321" s="122">
        <v>0.15720000000000001</v>
      </c>
      <c r="V321" s="122" t="s">
        <v>562</v>
      </c>
      <c r="W321" s="108">
        <v>13972000000</v>
      </c>
      <c r="X321" s="108">
        <v>4077849999.9999995</v>
      </c>
      <c r="Y321" s="108">
        <v>4176899999.9999995</v>
      </c>
      <c r="Z321" s="108">
        <f t="shared" si="43"/>
        <v>14237468</v>
      </c>
      <c r="AA321" s="108">
        <f t="shared" si="44"/>
        <v>14199822</v>
      </c>
      <c r="AB321" s="108">
        <f t="shared" si="45"/>
        <v>39785882.5</v>
      </c>
      <c r="AC321" s="108">
        <f t="shared" si="46"/>
        <v>11348592.5</v>
      </c>
    </row>
    <row r="322" spans="1:29" x14ac:dyDescent="0.2">
      <c r="A322" s="124" t="s">
        <v>293</v>
      </c>
      <c r="B322" s="99">
        <f t="shared" si="40"/>
        <v>-3.3485252295868749E-3</v>
      </c>
      <c r="C322" t="s">
        <v>689</v>
      </c>
      <c r="D322" s="99">
        <f t="shared" si="41"/>
        <v>9.2332613390928728E-2</v>
      </c>
      <c r="E322" s="123">
        <v>40922826</v>
      </c>
      <c r="F322" s="219">
        <v>21137</v>
      </c>
      <c r="G322" s="93">
        <v>20500</v>
      </c>
      <c r="H322" s="93">
        <v>1852</v>
      </c>
      <c r="I322" s="93">
        <v>3630</v>
      </c>
      <c r="J322" s="93">
        <v>1510</v>
      </c>
      <c r="K322" s="108">
        <f>(F322*138.66)*SUM(1,Macrogegevens!$C$4,0.5*Macrogegevens!$C$6,Macrogegevens!$C$8)</f>
        <v>2991525.1478940002</v>
      </c>
      <c r="L322" s="108">
        <f t="shared" si="47"/>
        <v>1264062.25</v>
      </c>
      <c r="M322" s="108">
        <v>1816044.8115478661</v>
      </c>
      <c r="N322" s="108">
        <v>3188639.0670054243</v>
      </c>
      <c r="O322" s="108">
        <v>0</v>
      </c>
      <c r="P322" s="108">
        <f t="shared" si="42"/>
        <v>5004683.8785532899</v>
      </c>
      <c r="Q322" s="108">
        <v>42415316</v>
      </c>
      <c r="R322" s="155">
        <v>1141.0262473397966</v>
      </c>
      <c r="S322" s="122">
        <v>0.12</v>
      </c>
      <c r="T322" s="122">
        <v>0.14530000000000001</v>
      </c>
      <c r="U322" s="122">
        <v>0.1166</v>
      </c>
      <c r="V322" s="122" t="s">
        <v>293</v>
      </c>
      <c r="W322" s="108">
        <v>1404800000</v>
      </c>
      <c r="X322" s="108">
        <v>395850000</v>
      </c>
      <c r="Y322" s="108">
        <v>483699999.99999994</v>
      </c>
      <c r="Z322" s="108">
        <f t="shared" si="43"/>
        <v>1685759.9999999998</v>
      </c>
      <c r="AA322" s="108">
        <f t="shared" si="44"/>
        <v>1139164.25</v>
      </c>
      <c r="AB322" s="108">
        <f t="shared" si="45"/>
        <v>4088986.5</v>
      </c>
      <c r="AC322" s="108">
        <f t="shared" si="46"/>
        <v>1264062.25</v>
      </c>
    </row>
    <row r="323" spans="1:29" x14ac:dyDescent="0.2">
      <c r="A323" s="124" t="s">
        <v>294</v>
      </c>
      <c r="B323" s="99">
        <f t="shared" si="40"/>
        <v>-6.7999094657495152E-3</v>
      </c>
      <c r="C323" t="s">
        <v>228</v>
      </c>
      <c r="D323" s="99">
        <f t="shared" si="41"/>
        <v>7.8474246841593778E-2</v>
      </c>
      <c r="E323" s="123">
        <v>71143525</v>
      </c>
      <c r="F323" s="219">
        <v>33873</v>
      </c>
      <c r="G323" s="93">
        <v>31800</v>
      </c>
      <c r="H323" s="93">
        <v>2058</v>
      </c>
      <c r="I323" s="93">
        <v>4450</v>
      </c>
      <c r="J323" s="93">
        <v>1735</v>
      </c>
      <c r="K323" s="108">
        <f>(F323*138.66)*SUM(1,Macrogegevens!$C$4,0.5*Macrogegevens!$C$6,Macrogegevens!$C$8)</f>
        <v>4794054.5647260007</v>
      </c>
      <c r="L323" s="108">
        <f t="shared" si="47"/>
        <v>1553187.7500000005</v>
      </c>
      <c r="M323" s="108">
        <v>7729396.8293341938</v>
      </c>
      <c r="N323" s="108">
        <v>6904735.2777083861</v>
      </c>
      <c r="O323" s="108">
        <v>0</v>
      </c>
      <c r="P323" s="108">
        <f t="shared" si="42"/>
        <v>14634132.107042581</v>
      </c>
      <c r="Q323" s="108">
        <v>70967491</v>
      </c>
      <c r="R323" s="155">
        <v>1078.1119714115546</v>
      </c>
      <c r="S323" s="122">
        <v>0.11799999999999999</v>
      </c>
      <c r="T323" s="122">
        <v>0.15049999999999999</v>
      </c>
      <c r="U323" s="122">
        <v>0.1225</v>
      </c>
      <c r="V323" s="122" t="s">
        <v>294</v>
      </c>
      <c r="W323" s="108">
        <v>2008400000</v>
      </c>
      <c r="X323" s="108">
        <v>354550000</v>
      </c>
      <c r="Y323" s="108">
        <v>401800000</v>
      </c>
      <c r="Z323" s="108">
        <f t="shared" si="43"/>
        <v>2369911.9999999995</v>
      </c>
      <c r="AA323" s="108">
        <f t="shared" si="44"/>
        <v>1025802.75</v>
      </c>
      <c r="AB323" s="108">
        <f t="shared" si="45"/>
        <v>4948902.5</v>
      </c>
      <c r="AC323" s="108">
        <f t="shared" si="46"/>
        <v>1553187.7500000005</v>
      </c>
    </row>
    <row r="324" spans="1:29" x14ac:dyDescent="0.2">
      <c r="A324" s="124" t="s">
        <v>225</v>
      </c>
      <c r="B324" s="99">
        <f t="shared" si="40"/>
        <v>-5.0539152497288894E-3</v>
      </c>
      <c r="C324" t="s">
        <v>689</v>
      </c>
      <c r="D324" s="99">
        <f t="shared" si="41"/>
        <v>7.0574162679425831E-2</v>
      </c>
      <c r="E324" s="123">
        <v>68767000</v>
      </c>
      <c r="F324" s="219">
        <v>32582</v>
      </c>
      <c r="G324" s="93">
        <v>31100</v>
      </c>
      <c r="H324" s="93">
        <v>2090</v>
      </c>
      <c r="I324" s="93">
        <v>4400</v>
      </c>
      <c r="J324" s="93">
        <v>1795</v>
      </c>
      <c r="K324" s="108">
        <f>(F324*138.66)*SUM(1,Macrogegevens!$C$4,0.5*Macrogegevens!$C$6,Macrogegevens!$C$8)</f>
        <v>4611338.9964840012</v>
      </c>
      <c r="L324" s="108">
        <f t="shared" si="47"/>
        <v>2364323.7999999998</v>
      </c>
      <c r="M324" s="108">
        <v>6759708.5593274273</v>
      </c>
      <c r="N324" s="108">
        <v>3764555.3177962326</v>
      </c>
      <c r="O324" s="108">
        <v>0</v>
      </c>
      <c r="P324" s="108">
        <f t="shared" si="42"/>
        <v>10524263.877123659</v>
      </c>
      <c r="Q324" s="108">
        <v>70662000</v>
      </c>
      <c r="R324" s="155">
        <v>1985.4356948901507</v>
      </c>
      <c r="S324" s="122">
        <v>0.111</v>
      </c>
      <c r="T324" s="122">
        <v>0.1235</v>
      </c>
      <c r="U324" s="122">
        <v>7.9699999999999993E-2</v>
      </c>
      <c r="V324" s="122" t="s">
        <v>225</v>
      </c>
      <c r="W324" s="108">
        <v>2586800000</v>
      </c>
      <c r="X324" s="108">
        <v>354200000</v>
      </c>
      <c r="Y324" s="108">
        <v>411600000</v>
      </c>
      <c r="Z324" s="108">
        <f t="shared" si="43"/>
        <v>2871348.0000000005</v>
      </c>
      <c r="AA324" s="108">
        <f t="shared" si="44"/>
        <v>765482.2</v>
      </c>
      <c r="AB324" s="108">
        <f t="shared" si="45"/>
        <v>6001154</v>
      </c>
      <c r="AC324" s="108">
        <f t="shared" si="46"/>
        <v>2364323.7999999998</v>
      </c>
    </row>
    <row r="325" spans="1:29" x14ac:dyDescent="0.2">
      <c r="A325" s="124" t="s">
        <v>271</v>
      </c>
      <c r="B325" s="99">
        <f t="shared" si="40"/>
        <v>2.9381595646655887E-3</v>
      </c>
      <c r="C325" t="s">
        <v>228</v>
      </c>
      <c r="D325" s="99">
        <f t="shared" si="41"/>
        <v>7.3353293413173648E-2</v>
      </c>
      <c r="E325" s="123">
        <v>62583000</v>
      </c>
      <c r="F325" s="219">
        <v>31955</v>
      </c>
      <c r="G325" s="93">
        <v>32800</v>
      </c>
      <c r="H325" s="93">
        <v>2004</v>
      </c>
      <c r="I325" s="93">
        <v>4130</v>
      </c>
      <c r="J325" s="93">
        <v>1710</v>
      </c>
      <c r="K325" s="108">
        <f>(F325*138.66)*SUM(1,Macrogegevens!$C$4,0.5*Macrogegevens!$C$6,Macrogegevens!$C$8)</f>
        <v>4522599.5222100001</v>
      </c>
      <c r="L325" s="108">
        <f t="shared" si="47"/>
        <v>0</v>
      </c>
      <c r="M325" s="108">
        <v>6897640.0218300726</v>
      </c>
      <c r="N325" s="108">
        <v>4933138.7866559513</v>
      </c>
      <c r="O325" s="108">
        <v>0</v>
      </c>
      <c r="P325" s="108">
        <f t="shared" si="42"/>
        <v>11830778.808486024</v>
      </c>
      <c r="Q325" s="108">
        <v>63495000</v>
      </c>
      <c r="R325" s="155">
        <v>1574.3710643049913</v>
      </c>
      <c r="S325" s="122">
        <v>0.19919999999999999</v>
      </c>
      <c r="T325" s="122">
        <v>0.28849999999999998</v>
      </c>
      <c r="U325" s="122">
        <v>0.24779999999999999</v>
      </c>
      <c r="V325" s="122" t="s">
        <v>271</v>
      </c>
      <c r="W325" s="108">
        <v>2036800000</v>
      </c>
      <c r="X325" s="108">
        <v>276150000</v>
      </c>
      <c r="Y325" s="108">
        <v>323750000</v>
      </c>
      <c r="Z325" s="108">
        <f t="shared" si="43"/>
        <v>4057305.5999999996</v>
      </c>
      <c r="AA325" s="108">
        <f t="shared" si="44"/>
        <v>1598945.25</v>
      </c>
      <c r="AB325" s="108">
        <f t="shared" si="45"/>
        <v>4719693</v>
      </c>
      <c r="AC325" s="108">
        <f t="shared" si="46"/>
        <v>-936557.84999999963</v>
      </c>
    </row>
    <row r="326" spans="1:29" x14ac:dyDescent="0.2">
      <c r="A326" s="124" t="s">
        <v>563</v>
      </c>
      <c r="B326" s="99">
        <f t="shared" si="40"/>
        <v>7.3367353285575592E-3</v>
      </c>
      <c r="C326" t="s">
        <v>228</v>
      </c>
      <c r="D326" s="99">
        <f t="shared" si="41"/>
        <v>2.9996791786974654E-2</v>
      </c>
      <c r="E326" s="123">
        <v>103670233</v>
      </c>
      <c r="F326" s="219">
        <v>41087</v>
      </c>
      <c r="G326" s="93">
        <v>43800</v>
      </c>
      <c r="H326" s="93">
        <v>3117</v>
      </c>
      <c r="I326" s="93">
        <v>7445</v>
      </c>
      <c r="J326" s="93">
        <v>2930</v>
      </c>
      <c r="K326" s="108">
        <f>(F326*138.66)*SUM(1,Macrogegevens!$C$4,0.5*Macrogegevens!$C$6,Macrogegevens!$C$8)</f>
        <v>5815053.8747940008</v>
      </c>
      <c r="L326" s="108">
        <f t="shared" si="47"/>
        <v>2537445.9500000002</v>
      </c>
      <c r="M326" s="108">
        <v>10529047.915655715</v>
      </c>
      <c r="N326" s="108">
        <v>4973658.2201989461</v>
      </c>
      <c r="O326" s="108">
        <v>0</v>
      </c>
      <c r="P326" s="108">
        <f t="shared" si="42"/>
        <v>15502706.135854661</v>
      </c>
      <c r="Q326" s="108">
        <v>105635211</v>
      </c>
      <c r="R326" s="155">
        <v>2479.7217288336292</v>
      </c>
      <c r="S326" s="122">
        <v>9.98E-2</v>
      </c>
      <c r="T326" s="122">
        <v>0.19950000000000001</v>
      </c>
      <c r="U326" s="122">
        <v>0.1593</v>
      </c>
      <c r="V326" s="122" t="s">
        <v>563</v>
      </c>
      <c r="W326" s="108">
        <v>3199200000</v>
      </c>
      <c r="X326" s="108">
        <v>755300000</v>
      </c>
      <c r="Y326" s="108">
        <v>804650000</v>
      </c>
      <c r="Z326" s="108">
        <f t="shared" si="43"/>
        <v>3192801.6</v>
      </c>
      <c r="AA326" s="108">
        <f t="shared" si="44"/>
        <v>2788630.95</v>
      </c>
      <c r="AB326" s="108">
        <f t="shared" si="45"/>
        <v>8518878.5</v>
      </c>
      <c r="AC326" s="108">
        <f t="shared" si="46"/>
        <v>2537445.9500000002</v>
      </c>
    </row>
    <row r="327" spans="1:29" x14ac:dyDescent="0.2">
      <c r="A327" s="124" t="s">
        <v>422</v>
      </c>
      <c r="B327" s="99">
        <f t="shared" si="40"/>
        <v>-1.3278480165897385E-2</v>
      </c>
      <c r="C327" t="s">
        <v>689</v>
      </c>
      <c r="D327" s="99">
        <f t="shared" si="41"/>
        <v>4.3773119605425403E-2</v>
      </c>
      <c r="E327" s="123">
        <v>17886000</v>
      </c>
      <c r="F327" s="219">
        <v>13288</v>
      </c>
      <c r="G327" s="93">
        <v>11700</v>
      </c>
      <c r="H327" s="93">
        <v>811</v>
      </c>
      <c r="I327" s="93">
        <v>1910</v>
      </c>
      <c r="J327" s="93">
        <v>740</v>
      </c>
      <c r="K327" s="108">
        <f>(F327*138.66)*SUM(1,Macrogegevens!$C$4,0.5*Macrogegevens!$C$6,Macrogegevens!$C$8)</f>
        <v>1880654.121456</v>
      </c>
      <c r="L327" s="108">
        <f t="shared" si="47"/>
        <v>599460.69999999995</v>
      </c>
      <c r="M327" s="108">
        <v>1814241.7111979951</v>
      </c>
      <c r="N327" s="108">
        <v>875664.21146118979</v>
      </c>
      <c r="O327" s="108">
        <v>0</v>
      </c>
      <c r="P327" s="108">
        <f t="shared" si="42"/>
        <v>2689905.9226591848</v>
      </c>
      <c r="Q327" s="108">
        <v>17339000</v>
      </c>
      <c r="R327" s="155">
        <v>415.74542008843969</v>
      </c>
      <c r="S327" s="122">
        <v>0.12</v>
      </c>
      <c r="T327" s="122">
        <v>0.21360000000000001</v>
      </c>
      <c r="U327" s="122">
        <v>0.154</v>
      </c>
      <c r="V327" s="122" t="s">
        <v>422</v>
      </c>
      <c r="W327" s="108">
        <v>1031600000</v>
      </c>
      <c r="X327" s="108">
        <v>114800000</v>
      </c>
      <c r="Y327" s="108">
        <v>122149999.99999999</v>
      </c>
      <c r="Z327" s="108">
        <f t="shared" si="43"/>
        <v>1237920</v>
      </c>
      <c r="AA327" s="108">
        <f t="shared" si="44"/>
        <v>433323.80000000005</v>
      </c>
      <c r="AB327" s="108">
        <f t="shared" si="45"/>
        <v>2270704.5</v>
      </c>
      <c r="AC327" s="108">
        <f t="shared" si="46"/>
        <v>599460.69999999995</v>
      </c>
    </row>
    <row r="328" spans="1:29" x14ac:dyDescent="0.2">
      <c r="A328" s="124" t="s">
        <v>423</v>
      </c>
      <c r="B328" s="99">
        <f t="shared" si="40"/>
        <v>6.1126586196224081E-3</v>
      </c>
      <c r="C328" t="s">
        <v>689</v>
      </c>
      <c r="D328" s="99">
        <f t="shared" si="41"/>
        <v>1.4525993883792049E-2</v>
      </c>
      <c r="E328" s="123">
        <v>59263000</v>
      </c>
      <c r="F328" s="219">
        <v>28720</v>
      </c>
      <c r="G328" s="93">
        <v>30300</v>
      </c>
      <c r="H328" s="93">
        <v>1962</v>
      </c>
      <c r="I328" s="93">
        <v>4800</v>
      </c>
      <c r="J328" s="93">
        <v>1905</v>
      </c>
      <c r="K328" s="108">
        <f>(F328*138.66)*SUM(1,Macrogegevens!$C$4,0.5*Macrogegevens!$C$6,Macrogegevens!$C$8)</f>
        <v>4064749.1246400005</v>
      </c>
      <c r="L328" s="108">
        <f t="shared" si="47"/>
        <v>1646258.3000000003</v>
      </c>
      <c r="M328" s="108">
        <v>5849775.5037503615</v>
      </c>
      <c r="N328" s="108">
        <v>2858106.8909664643</v>
      </c>
      <c r="O328" s="108">
        <v>0</v>
      </c>
      <c r="P328" s="108">
        <f t="shared" si="42"/>
        <v>8707882.3947168253</v>
      </c>
      <c r="Q328" s="108">
        <v>73018000</v>
      </c>
      <c r="R328" s="155">
        <v>427.86867714682921</v>
      </c>
      <c r="S328" s="122">
        <v>0.11169999999999999</v>
      </c>
      <c r="T328" s="122">
        <v>0.18379999999999999</v>
      </c>
      <c r="U328" s="122">
        <v>0.14810000000000001</v>
      </c>
      <c r="V328" s="122" t="s">
        <v>423</v>
      </c>
      <c r="W328" s="108">
        <v>2237600000</v>
      </c>
      <c r="X328" s="108">
        <v>523249999.99999994</v>
      </c>
      <c r="Y328" s="108">
        <v>535499999.99999994</v>
      </c>
      <c r="Z328" s="108">
        <f t="shared" si="43"/>
        <v>2499399.1999999997</v>
      </c>
      <c r="AA328" s="108">
        <f t="shared" si="44"/>
        <v>1754809</v>
      </c>
      <c r="AB328" s="108">
        <f t="shared" si="45"/>
        <v>5900466.5</v>
      </c>
      <c r="AC328" s="108">
        <f t="shared" si="46"/>
        <v>1646258.3000000003</v>
      </c>
    </row>
    <row r="329" spans="1:29" x14ac:dyDescent="0.2">
      <c r="A329" s="124" t="s">
        <v>610</v>
      </c>
      <c r="B329" s="99">
        <f t="shared" si="40"/>
        <v>1.1800657408816946E-2</v>
      </c>
      <c r="C329" t="s">
        <v>228</v>
      </c>
      <c r="D329" s="99">
        <f t="shared" si="41"/>
        <v>2.6627218934911243E-2</v>
      </c>
      <c r="E329" s="123">
        <v>33714061</v>
      </c>
      <c r="F329" s="219">
        <v>19707</v>
      </c>
      <c r="G329" s="93">
        <v>21800</v>
      </c>
      <c r="H329" s="93">
        <v>1183</v>
      </c>
      <c r="I329" s="93">
        <v>3105</v>
      </c>
      <c r="J329" s="93">
        <v>1120</v>
      </c>
      <c r="K329" s="108">
        <f>(F329*138.66)*SUM(1,Macrogegevens!$C$4,0.5*Macrogegevens!$C$6,Macrogegevens!$C$8)</f>
        <v>2789136.8732340005</v>
      </c>
      <c r="L329" s="108">
        <f t="shared" si="47"/>
        <v>96696.40000000014</v>
      </c>
      <c r="M329" s="108">
        <v>4866124.1983861038</v>
      </c>
      <c r="N329" s="108">
        <v>2871680.8653805787</v>
      </c>
      <c r="O329" s="108">
        <v>0</v>
      </c>
      <c r="P329" s="108">
        <f t="shared" si="42"/>
        <v>7737805.0637666825</v>
      </c>
      <c r="Q329" s="108">
        <v>33577158</v>
      </c>
      <c r="R329" s="155">
        <v>2992.3539049699616</v>
      </c>
      <c r="S329" s="122">
        <v>0.15329999999999999</v>
      </c>
      <c r="T329" s="122">
        <v>0.23499999999999999</v>
      </c>
      <c r="U329" s="122">
        <v>0.18099999999999999</v>
      </c>
      <c r="V329" s="122" t="s">
        <v>610</v>
      </c>
      <c r="W329" s="108">
        <v>877200000</v>
      </c>
      <c r="X329" s="108">
        <v>221900000</v>
      </c>
      <c r="Y329" s="108">
        <v>224000000</v>
      </c>
      <c r="Z329" s="108">
        <f t="shared" si="43"/>
        <v>1344747.5999999999</v>
      </c>
      <c r="AA329" s="108">
        <f t="shared" si="44"/>
        <v>926905</v>
      </c>
      <c r="AB329" s="108">
        <f t="shared" si="45"/>
        <v>2368349</v>
      </c>
      <c r="AC329" s="108">
        <f t="shared" si="46"/>
        <v>96696.40000000014</v>
      </c>
    </row>
    <row r="330" spans="1:29" x14ac:dyDescent="0.2">
      <c r="A330" s="124" t="s">
        <v>372</v>
      </c>
      <c r="B330" s="99">
        <f t="shared" si="40"/>
        <v>1.4452069348384954E-2</v>
      </c>
      <c r="C330" t="s">
        <v>621</v>
      </c>
      <c r="D330" s="99">
        <f t="shared" si="41"/>
        <v>4.6979120390937358E-2</v>
      </c>
      <c r="E330" s="123">
        <v>1307508000</v>
      </c>
      <c r="F330" s="219">
        <v>334139</v>
      </c>
      <c r="G330" s="93">
        <v>377600</v>
      </c>
      <c r="H330" s="93">
        <v>22510</v>
      </c>
      <c r="I330" s="93">
        <v>50955</v>
      </c>
      <c r="J330" s="93">
        <v>20395</v>
      </c>
      <c r="K330" s="108">
        <f>(F330*185)*SUM(1,Macrogegevens!$C$4,0.5*Macrogegevens!$C$6,Macrogegevens!$C$8)</f>
        <v>63095300.300500013</v>
      </c>
      <c r="L330" s="108">
        <f t="shared" si="47"/>
        <v>8697806.1000000015</v>
      </c>
      <c r="M330" s="108">
        <v>68380202.908528477</v>
      </c>
      <c r="N330" s="108">
        <v>25559899.249641702</v>
      </c>
      <c r="O330" s="108">
        <v>85680263.968377396</v>
      </c>
      <c r="P330" s="108">
        <f t="shared" si="42"/>
        <v>179620366.12654757</v>
      </c>
      <c r="Q330" s="108">
        <v>1288385000</v>
      </c>
      <c r="R330" s="155">
        <v>641.49524066939989</v>
      </c>
      <c r="S330" s="122">
        <v>0.1016</v>
      </c>
      <c r="T330" s="122">
        <v>0.2732</v>
      </c>
      <c r="U330" s="122">
        <v>0.22070000000000001</v>
      </c>
      <c r="V330" s="122" t="s">
        <v>372</v>
      </c>
      <c r="W330" s="108">
        <v>25052000000</v>
      </c>
      <c r="X330" s="108">
        <v>7842099999.999999</v>
      </c>
      <c r="Y330" s="108">
        <v>7926099999.999999</v>
      </c>
      <c r="Z330" s="108">
        <f t="shared" si="43"/>
        <v>25452832</v>
      </c>
      <c r="AA330" s="108">
        <f t="shared" si="44"/>
        <v>38917519.899999999</v>
      </c>
      <c r="AB330" s="108">
        <f t="shared" si="45"/>
        <v>73068158</v>
      </c>
      <c r="AC330" s="108">
        <f t="shared" si="46"/>
        <v>8697806.1000000015</v>
      </c>
    </row>
    <row r="331" spans="1:29" x14ac:dyDescent="0.2">
      <c r="A331" s="124" t="s">
        <v>373</v>
      </c>
      <c r="B331" s="99">
        <f t="shared" si="40"/>
        <v>-5.0516578706489689E-3</v>
      </c>
      <c r="C331" t="s">
        <v>689</v>
      </c>
      <c r="D331" s="99">
        <f t="shared" si="41"/>
        <v>3.9504441327723232E-2</v>
      </c>
      <c r="E331" s="123">
        <v>79066000</v>
      </c>
      <c r="F331" s="219">
        <v>48191</v>
      </c>
      <c r="G331" s="93">
        <v>46000</v>
      </c>
      <c r="H331" s="93">
        <v>4278</v>
      </c>
      <c r="I331" s="93">
        <v>9140</v>
      </c>
      <c r="J331" s="93">
        <v>3940</v>
      </c>
      <c r="K331" s="108">
        <f>(F331*138.66)*SUM(1,Macrogegevens!$C$4,0.5*Macrogegevens!$C$6,Macrogegevens!$C$8)</f>
        <v>6820484.8560420005</v>
      </c>
      <c r="L331" s="108">
        <f t="shared" si="47"/>
        <v>4415883.7</v>
      </c>
      <c r="M331" s="108">
        <v>10593562.096757688</v>
      </c>
      <c r="N331" s="108">
        <v>7026491.916264521</v>
      </c>
      <c r="O331" s="108">
        <v>0</v>
      </c>
      <c r="P331" s="108">
        <f t="shared" si="42"/>
        <v>17620054.013022207</v>
      </c>
      <c r="Q331" s="108">
        <v>83006000</v>
      </c>
      <c r="R331" s="155">
        <v>2183.3364070408393</v>
      </c>
      <c r="S331" s="122">
        <v>0.1045</v>
      </c>
      <c r="T331" s="122">
        <v>0.1308</v>
      </c>
      <c r="U331" s="122">
        <v>0.11799999999999999</v>
      </c>
      <c r="V331" s="122" t="s">
        <v>373</v>
      </c>
      <c r="W331" s="108">
        <v>5003200000</v>
      </c>
      <c r="X331" s="108">
        <v>604100000</v>
      </c>
      <c r="Y331" s="108">
        <v>651350000</v>
      </c>
      <c r="Z331" s="108">
        <f t="shared" si="43"/>
        <v>5228344</v>
      </c>
      <c r="AA331" s="108">
        <f t="shared" si="44"/>
        <v>1558755.7999999998</v>
      </c>
      <c r="AB331" s="108">
        <f t="shared" si="45"/>
        <v>11202983.5</v>
      </c>
      <c r="AC331" s="108">
        <f t="shared" si="46"/>
        <v>4415883.7</v>
      </c>
    </row>
    <row r="332" spans="1:29" x14ac:dyDescent="0.2">
      <c r="A332" s="124" t="s">
        <v>600</v>
      </c>
      <c r="B332" s="99">
        <f t="shared" si="40"/>
        <v>-4.5379537953795382E-3</v>
      </c>
      <c r="C332" t="s">
        <v>228</v>
      </c>
      <c r="D332" s="99">
        <f t="shared" si="41"/>
        <v>4.1198501872659173E-2</v>
      </c>
      <c r="E332" s="123">
        <v>26452000</v>
      </c>
      <c r="F332" s="219">
        <v>9696</v>
      </c>
      <c r="G332" s="93">
        <v>9300</v>
      </c>
      <c r="H332" s="93">
        <v>534</v>
      </c>
      <c r="I332" s="93">
        <v>1200</v>
      </c>
      <c r="J332" s="93">
        <v>490</v>
      </c>
      <c r="K332" s="108">
        <f>(F332*138.66)*SUM(1,Macrogegevens!$C$4,0.5*Macrogegevens!$C$6,Macrogegevens!$C$8)</f>
        <v>1372277.420352</v>
      </c>
      <c r="L332" s="108">
        <f t="shared" si="47"/>
        <v>280112.69999999995</v>
      </c>
      <c r="M332" s="108">
        <v>1565665.6655927741</v>
      </c>
      <c r="N332" s="108">
        <v>1642216.6711126908</v>
      </c>
      <c r="O332" s="108">
        <v>0</v>
      </c>
      <c r="P332" s="108">
        <f t="shared" si="42"/>
        <v>3207882.3367054649</v>
      </c>
      <c r="Q332" s="108">
        <v>27226000</v>
      </c>
      <c r="R332" s="155">
        <v>2730.3951367781156</v>
      </c>
      <c r="S332" s="122">
        <v>0.1343</v>
      </c>
      <c r="T332" s="122">
        <v>0.1978</v>
      </c>
      <c r="U332" s="122">
        <v>0.15840000000000001</v>
      </c>
      <c r="V332" s="122" t="s">
        <v>600</v>
      </c>
      <c r="W332" s="108">
        <v>618800000</v>
      </c>
      <c r="X332" s="108">
        <v>86800000</v>
      </c>
      <c r="Y332" s="108">
        <v>96250000</v>
      </c>
      <c r="Z332" s="108">
        <f t="shared" si="43"/>
        <v>831048.4</v>
      </c>
      <c r="AA332" s="108">
        <f t="shared" si="44"/>
        <v>324150.40000000002</v>
      </c>
      <c r="AB332" s="108">
        <f t="shared" si="45"/>
        <v>1435311.5</v>
      </c>
      <c r="AC332" s="108">
        <f t="shared" si="46"/>
        <v>280112.69999999995</v>
      </c>
    </row>
    <row r="333" spans="1:29" x14ac:dyDescent="0.2">
      <c r="A333" s="124" t="s">
        <v>601</v>
      </c>
      <c r="B333" s="99">
        <f t="shared" si="40"/>
        <v>-3.437529259125491E-3</v>
      </c>
      <c r="C333" t="s">
        <v>228</v>
      </c>
      <c r="D333" s="99">
        <f t="shared" si="41"/>
        <v>3.8617886178861791E-2</v>
      </c>
      <c r="E333" s="123">
        <v>43850813</v>
      </c>
      <c r="F333" s="219">
        <v>16614</v>
      </c>
      <c r="G333" s="93">
        <v>16100.000000000002</v>
      </c>
      <c r="H333" s="93">
        <v>1230</v>
      </c>
      <c r="I333" s="93">
        <v>2845</v>
      </c>
      <c r="J333" s="93">
        <v>1135</v>
      </c>
      <c r="K333" s="108">
        <f>(F333*138.66)*SUM(1,Macrogegevens!$C$4,0.5*Macrogegevens!$C$6,Macrogegevens!$C$8)</f>
        <v>2351383.772868</v>
      </c>
      <c r="L333" s="108">
        <f t="shared" si="47"/>
        <v>112614.94999999995</v>
      </c>
      <c r="M333" s="108">
        <v>2690874.4029466361</v>
      </c>
      <c r="N333" s="108">
        <v>3351963.1244351882</v>
      </c>
      <c r="O333" s="108">
        <v>0</v>
      </c>
      <c r="P333" s="108">
        <f t="shared" si="42"/>
        <v>6042837.5273818243</v>
      </c>
      <c r="Q333" s="108">
        <v>42249277</v>
      </c>
      <c r="R333" s="155">
        <v>893.21240491515505</v>
      </c>
      <c r="S333" s="122">
        <v>0.1467</v>
      </c>
      <c r="T333" s="122">
        <v>0.27939999999999998</v>
      </c>
      <c r="U333" s="122">
        <v>0.22370000000000001</v>
      </c>
      <c r="V333" s="122" t="s">
        <v>601</v>
      </c>
      <c r="W333" s="108">
        <v>1316000000</v>
      </c>
      <c r="X333" s="108">
        <v>210700000</v>
      </c>
      <c r="Y333" s="108">
        <v>225750000</v>
      </c>
      <c r="Z333" s="108">
        <f t="shared" si="43"/>
        <v>1930572</v>
      </c>
      <c r="AA333" s="108">
        <f t="shared" si="44"/>
        <v>1093698.55</v>
      </c>
      <c r="AB333" s="108">
        <f t="shared" si="45"/>
        <v>3136885.5</v>
      </c>
      <c r="AC333" s="108">
        <f t="shared" si="46"/>
        <v>112614.94999999995</v>
      </c>
    </row>
    <row r="334" spans="1:29" x14ac:dyDescent="0.2">
      <c r="A334" s="124" t="s">
        <v>564</v>
      </c>
      <c r="B334" s="99">
        <f t="shared" si="40"/>
        <v>4.6794072995813164E-3</v>
      </c>
      <c r="C334" t="s">
        <v>228</v>
      </c>
      <c r="D334" s="99">
        <f t="shared" si="41"/>
        <v>1.7045454545454544E-2</v>
      </c>
      <c r="E334" s="123">
        <v>69701149</v>
      </c>
      <c r="F334" s="219">
        <v>30227</v>
      </c>
      <c r="G334" s="93">
        <v>31500</v>
      </c>
      <c r="H334" s="93">
        <v>2200</v>
      </c>
      <c r="I334" s="93">
        <v>5615</v>
      </c>
      <c r="J334" s="93">
        <v>2125</v>
      </c>
      <c r="K334" s="108">
        <f>(F334*138.66)*SUM(1,Macrogegevens!$C$4,0.5*Macrogegevens!$C$6,Macrogegevens!$C$8)</f>
        <v>4278035.2294740006</v>
      </c>
      <c r="L334" s="108">
        <f t="shared" si="47"/>
        <v>1770178.8000000003</v>
      </c>
      <c r="M334" s="108">
        <v>3903714.9574160394</v>
      </c>
      <c r="N334" s="108">
        <v>4272071.6403026758</v>
      </c>
      <c r="O334" s="108">
        <v>0</v>
      </c>
      <c r="P334" s="108">
        <f t="shared" si="42"/>
        <v>8175786.5977187157</v>
      </c>
      <c r="Q334" s="108">
        <v>71305045</v>
      </c>
      <c r="R334" s="155">
        <v>1417.1847030105778</v>
      </c>
      <c r="S334" s="122">
        <v>0.1148</v>
      </c>
      <c r="T334" s="122">
        <v>0.19159999999999999</v>
      </c>
      <c r="U334" s="122">
        <v>0.15379999999999999</v>
      </c>
      <c r="V334" s="122" t="s">
        <v>564</v>
      </c>
      <c r="W334" s="108">
        <v>2654800000</v>
      </c>
      <c r="X334" s="108">
        <v>482999999.99999994</v>
      </c>
      <c r="Y334" s="108">
        <v>502599999.99999994</v>
      </c>
      <c r="Z334" s="108">
        <f t="shared" si="43"/>
        <v>3047710.4</v>
      </c>
      <c r="AA334" s="108">
        <f t="shared" si="44"/>
        <v>1698426.7999999998</v>
      </c>
      <c r="AB334" s="108">
        <f t="shared" si="45"/>
        <v>6516316</v>
      </c>
      <c r="AC334" s="108">
        <f t="shared" si="46"/>
        <v>1770178.8000000003</v>
      </c>
    </row>
    <row r="335" spans="1:29" x14ac:dyDescent="0.2">
      <c r="A335" s="124" t="s">
        <v>248</v>
      </c>
      <c r="B335" s="99">
        <f t="shared" si="40"/>
        <v>4.4582485624054475E-3</v>
      </c>
      <c r="C335" t="s">
        <v>621</v>
      </c>
      <c r="D335" s="99">
        <f t="shared" si="41"/>
        <v>1.9434628975265017E-2</v>
      </c>
      <c r="E335" s="123">
        <v>115949695</v>
      </c>
      <c r="F335" s="219">
        <v>27689</v>
      </c>
      <c r="G335" s="93">
        <v>28800</v>
      </c>
      <c r="H335" s="93">
        <v>1415</v>
      </c>
      <c r="I335" s="93">
        <v>3335</v>
      </c>
      <c r="J335" s="93">
        <v>1360</v>
      </c>
      <c r="K335" s="108">
        <f>(F335*138.66)*SUM(1,Macrogegevens!$C$4,0.5*Macrogegevens!$C$6,Macrogegevens!$C$8)</f>
        <v>3918831.4245180003</v>
      </c>
      <c r="L335" s="108">
        <f t="shared" si="47"/>
        <v>183269.40000000014</v>
      </c>
      <c r="M335" s="108">
        <v>9853808.1156598125</v>
      </c>
      <c r="N335" s="108">
        <v>5777753.2915338073</v>
      </c>
      <c r="O335" s="108">
        <v>0</v>
      </c>
      <c r="P335" s="108">
        <f t="shared" si="42"/>
        <v>15631561.40719362</v>
      </c>
      <c r="Q335" s="108">
        <v>115949695</v>
      </c>
      <c r="R335" s="155">
        <v>-125.82072509277762</v>
      </c>
      <c r="S335" s="122">
        <v>0.14410000000000001</v>
      </c>
      <c r="T335" s="122">
        <v>0.24879999999999999</v>
      </c>
      <c r="U335" s="122">
        <v>0.1988</v>
      </c>
      <c r="V335" s="122" t="s">
        <v>248</v>
      </c>
      <c r="W335" s="108">
        <v>1431200000</v>
      </c>
      <c r="X335" s="108">
        <v>347200000</v>
      </c>
      <c r="Y335" s="108">
        <v>373100000</v>
      </c>
      <c r="Z335" s="108">
        <f t="shared" si="43"/>
        <v>2062359.2</v>
      </c>
      <c r="AA335" s="108">
        <f t="shared" si="44"/>
        <v>1605556.4</v>
      </c>
      <c r="AB335" s="108">
        <f t="shared" si="45"/>
        <v>3851185</v>
      </c>
      <c r="AC335" s="108">
        <f t="shared" si="46"/>
        <v>183269.40000000014</v>
      </c>
    </row>
    <row r="336" spans="1:29" x14ac:dyDescent="0.2">
      <c r="A336" s="124" t="s">
        <v>374</v>
      </c>
      <c r="B336" s="99">
        <f t="shared" si="40"/>
        <v>5.5566066160756206E-3</v>
      </c>
      <c r="C336" t="s">
        <v>621</v>
      </c>
      <c r="D336" s="99">
        <f t="shared" si="41"/>
        <v>6.4763732309906456E-3</v>
      </c>
      <c r="E336" s="123">
        <v>180582000</v>
      </c>
      <c r="F336" s="219">
        <v>63428</v>
      </c>
      <c r="G336" s="93">
        <v>66600</v>
      </c>
      <c r="H336" s="93">
        <v>4169</v>
      </c>
      <c r="I336" s="93">
        <v>10230</v>
      </c>
      <c r="J336" s="93">
        <v>4115</v>
      </c>
      <c r="K336" s="108">
        <f>(F336*138.66)*SUM(1,Macrogegevens!$C$4,0.5*Macrogegevens!$C$6,Macrogegevens!$C$8)</f>
        <v>8976981.4581360016</v>
      </c>
      <c r="L336" s="108">
        <f t="shared" si="47"/>
        <v>3364312.3500000006</v>
      </c>
      <c r="M336" s="108">
        <v>16831804.132913269</v>
      </c>
      <c r="N336" s="108">
        <v>8992954.3678615615</v>
      </c>
      <c r="O336" s="108">
        <v>0</v>
      </c>
      <c r="P336" s="108">
        <f t="shared" si="42"/>
        <v>25824758.500774831</v>
      </c>
      <c r="Q336" s="108">
        <v>179678000</v>
      </c>
      <c r="R336" s="155">
        <v>1529.3861698870321</v>
      </c>
      <c r="S336" s="122">
        <v>0.1037</v>
      </c>
      <c r="T336" s="122">
        <v>0.19270000000000001</v>
      </c>
      <c r="U336" s="122">
        <v>0.154</v>
      </c>
      <c r="V336" s="122" t="s">
        <v>374</v>
      </c>
      <c r="W336" s="108">
        <v>4312000000</v>
      </c>
      <c r="X336" s="108">
        <v>1013949999.9999999</v>
      </c>
      <c r="Y336" s="108">
        <v>1025149999.9999999</v>
      </c>
      <c r="Z336" s="108">
        <f t="shared" si="43"/>
        <v>4471544</v>
      </c>
      <c r="AA336" s="108">
        <f t="shared" si="44"/>
        <v>3532612.6499999994</v>
      </c>
      <c r="AB336" s="108">
        <f t="shared" si="45"/>
        <v>11368469</v>
      </c>
      <c r="AC336" s="108">
        <f t="shared" si="46"/>
        <v>3364312.3500000006</v>
      </c>
    </row>
    <row r="337" spans="1:29" x14ac:dyDescent="0.2">
      <c r="A337" s="124" t="s">
        <v>507</v>
      </c>
      <c r="B337" s="99">
        <f t="shared" si="40"/>
        <v>-1.0303638187289139E-2</v>
      </c>
      <c r="C337" t="s">
        <v>689</v>
      </c>
      <c r="D337" s="99">
        <f t="shared" si="41"/>
        <v>8.8175846387064175E-2</v>
      </c>
      <c r="E337" s="123">
        <v>58053277</v>
      </c>
      <c r="F337" s="219">
        <v>21934</v>
      </c>
      <c r="G337" s="93">
        <v>19900</v>
      </c>
      <c r="H337" s="93">
        <v>1979</v>
      </c>
      <c r="I337" s="93">
        <v>4310</v>
      </c>
      <c r="J337" s="93">
        <v>1630</v>
      </c>
      <c r="K337" s="108">
        <f>(F337*138.66)*SUM(1,Macrogegevens!$C$4,0.5*Macrogegevens!$C$6,Macrogegevens!$C$8)</f>
        <v>3104324.7667080006</v>
      </c>
      <c r="L337" s="108">
        <f t="shared" si="47"/>
        <v>2850712.7</v>
      </c>
      <c r="M337" s="108">
        <v>3601914.1382591962</v>
      </c>
      <c r="N337" s="108">
        <v>2313252.9523059269</v>
      </c>
      <c r="O337" s="108">
        <v>0</v>
      </c>
      <c r="P337" s="108">
        <f t="shared" si="42"/>
        <v>5915167.0905651227</v>
      </c>
      <c r="Q337" s="108">
        <v>54913513</v>
      </c>
      <c r="R337" s="155">
        <v>1424.2493383225335</v>
      </c>
      <c r="S337" s="122">
        <v>9.69E-2</v>
      </c>
      <c r="T337" s="122">
        <v>0.12970000000000001</v>
      </c>
      <c r="U337" s="122">
        <v>0.1033</v>
      </c>
      <c r="V337" s="122" t="s">
        <v>507</v>
      </c>
      <c r="W337" s="108">
        <v>2774000000</v>
      </c>
      <c r="X337" s="108">
        <v>431900000</v>
      </c>
      <c r="Y337" s="108">
        <v>475999999.99999994</v>
      </c>
      <c r="Z337" s="108">
        <f t="shared" si="43"/>
        <v>2688006</v>
      </c>
      <c r="AA337" s="108">
        <f t="shared" si="44"/>
        <v>1051882.3</v>
      </c>
      <c r="AB337" s="108">
        <f t="shared" si="45"/>
        <v>6590601</v>
      </c>
      <c r="AC337" s="108">
        <f t="shared" si="46"/>
        <v>2850712.7</v>
      </c>
    </row>
    <row r="338" spans="1:29" x14ac:dyDescent="0.2">
      <c r="A338" s="124" t="s">
        <v>565</v>
      </c>
      <c r="B338" s="99">
        <f t="shared" si="40"/>
        <v>3.0814328221156818E-3</v>
      </c>
      <c r="C338" t="s">
        <v>228</v>
      </c>
      <c r="D338" s="99">
        <f t="shared" si="41"/>
        <v>2.6058062259531306E-2</v>
      </c>
      <c r="E338" s="123">
        <v>108824000</v>
      </c>
      <c r="F338" s="219">
        <v>37753</v>
      </c>
      <c r="G338" s="93">
        <v>38800</v>
      </c>
      <c r="H338" s="93">
        <v>2859</v>
      </c>
      <c r="I338" s="93">
        <v>6645</v>
      </c>
      <c r="J338" s="93">
        <v>2710</v>
      </c>
      <c r="K338" s="108">
        <f>(F338*138.66)*SUM(1,Macrogegevens!$C$4,0.5*Macrogegevens!$C$6,Macrogegevens!$C$8)</f>
        <v>5343191.9812860005</v>
      </c>
      <c r="L338" s="108">
        <f t="shared" si="47"/>
        <v>2223771.7550000008</v>
      </c>
      <c r="M338" s="108">
        <v>8761781.6309666876</v>
      </c>
      <c r="N338" s="108">
        <v>3712805.0077337008</v>
      </c>
      <c r="O338" s="108">
        <v>0</v>
      </c>
      <c r="P338" s="108">
        <f t="shared" si="42"/>
        <v>12474586.638700388</v>
      </c>
      <c r="Q338" s="108">
        <v>110320000</v>
      </c>
      <c r="R338" s="155">
        <v>1568.3725169557408</v>
      </c>
      <c r="S338" s="122">
        <v>0.11554</v>
      </c>
      <c r="T338" s="122">
        <v>0.17760999999999999</v>
      </c>
      <c r="U338" s="122">
        <v>0.1492</v>
      </c>
      <c r="V338" s="122" t="s">
        <v>565</v>
      </c>
      <c r="W338" s="108">
        <v>3009200000</v>
      </c>
      <c r="X338" s="108">
        <v>951649999.99999988</v>
      </c>
      <c r="Y338" s="108">
        <v>1009749999.9999999</v>
      </c>
      <c r="Z338" s="108">
        <f t="shared" si="43"/>
        <v>3476829.68</v>
      </c>
      <c r="AA338" s="108">
        <f t="shared" si="44"/>
        <v>3196772.5649999995</v>
      </c>
      <c r="AB338" s="108">
        <f t="shared" si="45"/>
        <v>8897374</v>
      </c>
      <c r="AC338" s="108">
        <f t="shared" si="46"/>
        <v>2223771.7550000008</v>
      </c>
    </row>
    <row r="339" spans="1:29" x14ac:dyDescent="0.2">
      <c r="A339" s="124" t="s">
        <v>566</v>
      </c>
      <c r="B339" s="99">
        <f t="shared" si="40"/>
        <v>2.60902162946861E-3</v>
      </c>
      <c r="C339" t="s">
        <v>228</v>
      </c>
      <c r="D339" s="99">
        <f t="shared" si="41"/>
        <v>2.4306874287884542E-2</v>
      </c>
      <c r="E339" s="123">
        <v>99100000</v>
      </c>
      <c r="F339" s="219">
        <v>44163</v>
      </c>
      <c r="G339" s="93">
        <v>45200</v>
      </c>
      <c r="H339" s="93">
        <v>2633</v>
      </c>
      <c r="I339" s="93">
        <v>6325</v>
      </c>
      <c r="J339" s="93">
        <v>2505</v>
      </c>
      <c r="K339" s="108">
        <f>(F339*138.66)*SUM(1,Macrogegevens!$C$4,0.5*Macrogegevens!$C$6,Macrogegevens!$C$8)</f>
        <v>6250400.9607060011</v>
      </c>
      <c r="L339" s="108">
        <f t="shared" si="47"/>
        <v>4032842.5</v>
      </c>
      <c r="M339" s="108">
        <v>9674949.2640324086</v>
      </c>
      <c r="N339" s="108">
        <v>5053105.3507173928</v>
      </c>
      <c r="O339" s="108">
        <v>0</v>
      </c>
      <c r="P339" s="108">
        <f t="shared" si="42"/>
        <v>14728054.6147498</v>
      </c>
      <c r="Q339" s="108">
        <v>101546000</v>
      </c>
      <c r="R339" s="155">
        <v>2151.4464768864323</v>
      </c>
      <c r="S339" s="122">
        <v>8.9800000000000005E-2</v>
      </c>
      <c r="T339" s="122">
        <v>0.15640000000000001</v>
      </c>
      <c r="U339" s="122">
        <v>0.1222</v>
      </c>
      <c r="V339" s="122" t="s">
        <v>566</v>
      </c>
      <c r="W339" s="108">
        <v>3737200000</v>
      </c>
      <c r="X339" s="108">
        <v>860650000</v>
      </c>
      <c r="Y339" s="108">
        <v>888650000</v>
      </c>
      <c r="Z339" s="108">
        <f t="shared" si="43"/>
        <v>3356005.6</v>
      </c>
      <c r="AA339" s="108">
        <f t="shared" si="44"/>
        <v>2431986.9000000004</v>
      </c>
      <c r="AB339" s="108">
        <f t="shared" si="45"/>
        <v>9820835</v>
      </c>
      <c r="AC339" s="108">
        <f t="shared" si="46"/>
        <v>4032842.5</v>
      </c>
    </row>
    <row r="340" spans="1:29" x14ac:dyDescent="0.2">
      <c r="A340" s="124" t="s">
        <v>424</v>
      </c>
      <c r="B340" s="99">
        <f t="shared" si="40"/>
        <v>-2.3992719450649457E-3</v>
      </c>
      <c r="C340" t="s">
        <v>228</v>
      </c>
      <c r="D340" s="99">
        <f t="shared" si="41"/>
        <v>2.6664965552436845E-2</v>
      </c>
      <c r="E340" s="123">
        <v>155894000</v>
      </c>
      <c r="F340" s="219">
        <v>67150</v>
      </c>
      <c r="G340" s="93">
        <v>65700</v>
      </c>
      <c r="H340" s="93">
        <v>3919</v>
      </c>
      <c r="I340" s="93">
        <v>9565</v>
      </c>
      <c r="J340" s="93">
        <v>3710</v>
      </c>
      <c r="K340" s="108">
        <f>(F340*138.66)*SUM(1,Macrogegevens!$C$4,0.5*Macrogegevens!$C$6,Macrogegevens!$C$8)</f>
        <v>9503757.0933000017</v>
      </c>
      <c r="L340" s="108">
        <f t="shared" si="47"/>
        <v>2409112.5499999998</v>
      </c>
      <c r="M340" s="108">
        <v>16158632.921458939</v>
      </c>
      <c r="N340" s="108">
        <v>7817764.4646233208</v>
      </c>
      <c r="O340" s="108">
        <v>0</v>
      </c>
      <c r="P340" s="108">
        <f t="shared" si="42"/>
        <v>23976397.386082262</v>
      </c>
      <c r="Q340" s="108">
        <v>147269000</v>
      </c>
      <c r="R340" s="155">
        <v>2489.514127316776</v>
      </c>
      <c r="S340" s="122">
        <v>0.1137</v>
      </c>
      <c r="T340" s="122">
        <v>0.24729999999999999</v>
      </c>
      <c r="U340" s="122">
        <v>0.1988</v>
      </c>
      <c r="V340" s="122" t="s">
        <v>424</v>
      </c>
      <c r="W340" s="108">
        <v>5230000000</v>
      </c>
      <c r="X340" s="108">
        <v>1135050000</v>
      </c>
      <c r="Y340" s="108">
        <v>1165850000</v>
      </c>
      <c r="Z340" s="108">
        <f t="shared" si="43"/>
        <v>5946510</v>
      </c>
      <c r="AA340" s="108">
        <f t="shared" si="44"/>
        <v>5124688.45</v>
      </c>
      <c r="AB340" s="108">
        <f t="shared" si="45"/>
        <v>13480311</v>
      </c>
      <c r="AC340" s="108">
        <f t="shared" si="46"/>
        <v>2409112.5499999998</v>
      </c>
    </row>
    <row r="341" spans="1:29" x14ac:dyDescent="0.2">
      <c r="A341" s="124" t="s">
        <v>602</v>
      </c>
      <c r="B341" s="99">
        <f t="shared" si="40"/>
        <v>4.9393277253340319E-3</v>
      </c>
      <c r="C341" t="s">
        <v>621</v>
      </c>
      <c r="D341" s="99">
        <f t="shared" si="41"/>
        <v>2.0851433536055605E-2</v>
      </c>
      <c r="E341" s="123">
        <v>293772000</v>
      </c>
      <c r="F341" s="219">
        <v>100531</v>
      </c>
      <c r="G341" s="93">
        <v>105000</v>
      </c>
      <c r="H341" s="93">
        <v>5755</v>
      </c>
      <c r="I341" s="93">
        <v>13920</v>
      </c>
      <c r="J341" s="93">
        <v>5515</v>
      </c>
      <c r="K341" s="108">
        <f>(F341*138.66)*SUM(1,Macrogegevens!$C$4,0.5*Macrogegevens!$C$6,Macrogegevens!$C$8)</f>
        <v>14228178.769122001</v>
      </c>
      <c r="L341" s="108">
        <f t="shared" si="47"/>
        <v>0</v>
      </c>
      <c r="M341" s="108">
        <v>26314460.233175933</v>
      </c>
      <c r="N341" s="108">
        <v>16531473.44460417</v>
      </c>
      <c r="O341" s="108">
        <v>43049847.69664035</v>
      </c>
      <c r="P341" s="108">
        <f t="shared" si="42"/>
        <v>85895781.374420464</v>
      </c>
      <c r="Q341" s="108">
        <v>292548000</v>
      </c>
      <c r="R341" s="155">
        <v>1600.0039879961316</v>
      </c>
      <c r="S341" s="122">
        <v>0.1938</v>
      </c>
      <c r="T341" s="122">
        <v>0.28410000000000002</v>
      </c>
      <c r="U341" s="122">
        <v>0.22789999999999999</v>
      </c>
      <c r="V341" s="122" t="s">
        <v>602</v>
      </c>
      <c r="W341" s="108">
        <v>6494800000</v>
      </c>
      <c r="X341" s="108">
        <v>2098249999.9999998</v>
      </c>
      <c r="Y341" s="108">
        <v>2142349999.9999998</v>
      </c>
      <c r="Z341" s="108">
        <f t="shared" si="43"/>
        <v>12586922.4</v>
      </c>
      <c r="AA341" s="108">
        <f t="shared" si="44"/>
        <v>10843543.899999999</v>
      </c>
      <c r="AB341" s="108">
        <f t="shared" si="45"/>
        <v>19216366</v>
      </c>
      <c r="AC341" s="108">
        <f t="shared" si="46"/>
        <v>-4214100.2999999989</v>
      </c>
    </row>
    <row r="342" spans="1:29" x14ac:dyDescent="0.2">
      <c r="A342" s="124" t="s">
        <v>603</v>
      </c>
      <c r="B342" s="99">
        <f t="shared" si="40"/>
        <v>-7.4684442798506308E-3</v>
      </c>
      <c r="C342" t="s">
        <v>228</v>
      </c>
      <c r="D342" s="99">
        <f t="shared" si="41"/>
        <v>4.0899795501022497E-2</v>
      </c>
      <c r="E342" s="123">
        <v>128462000</v>
      </c>
      <c r="F342" s="219">
        <v>43204</v>
      </c>
      <c r="G342" s="93">
        <v>40300</v>
      </c>
      <c r="H342" s="93">
        <v>2445</v>
      </c>
      <c r="I342" s="93">
        <v>5560</v>
      </c>
      <c r="J342" s="93">
        <v>2245</v>
      </c>
      <c r="K342" s="108">
        <f>(F342*138.66)*SUM(1,Macrogegevens!$C$4,0.5*Macrogegevens!$C$6,Macrogegevens!$C$8)</f>
        <v>6114673.4394480009</v>
      </c>
      <c r="L342" s="108">
        <f t="shared" si="47"/>
        <v>161699.30000000075</v>
      </c>
      <c r="M342" s="108">
        <v>9527748.7404848859</v>
      </c>
      <c r="N342" s="108">
        <v>5054005.1287796758</v>
      </c>
      <c r="O342" s="108">
        <v>0</v>
      </c>
      <c r="P342" s="108">
        <f t="shared" si="42"/>
        <v>14581753.869264562</v>
      </c>
      <c r="Q342" s="108">
        <v>135903000</v>
      </c>
      <c r="R342" s="155">
        <v>1678.0748162367152</v>
      </c>
      <c r="S342" s="122">
        <v>0.1348</v>
      </c>
      <c r="T342" s="122">
        <v>0.2601</v>
      </c>
      <c r="U342" s="122">
        <v>0.20730000000000001</v>
      </c>
      <c r="V342" s="122" t="s">
        <v>603</v>
      </c>
      <c r="W342" s="108">
        <v>2898000000</v>
      </c>
      <c r="X342" s="108">
        <v>1023049999.9999999</v>
      </c>
      <c r="Y342" s="108">
        <v>1023049999.9999999</v>
      </c>
      <c r="Z342" s="108">
        <f t="shared" si="43"/>
        <v>3906504</v>
      </c>
      <c r="AA342" s="108">
        <f t="shared" si="44"/>
        <v>4781735.6999999993</v>
      </c>
      <c r="AB342" s="108">
        <f t="shared" si="45"/>
        <v>8849939</v>
      </c>
      <c r="AC342" s="108">
        <f t="shared" si="46"/>
        <v>161699.30000000075</v>
      </c>
    </row>
    <row r="343" spans="1:29" x14ac:dyDescent="0.2">
      <c r="A343" s="124" t="s">
        <v>375</v>
      </c>
      <c r="B343" s="99">
        <f t="shared" si="40"/>
        <v>3.8157999026235041E-3</v>
      </c>
      <c r="C343" t="s">
        <v>689</v>
      </c>
      <c r="D343" s="99">
        <f t="shared" si="41"/>
        <v>3.4129692832764506E-2</v>
      </c>
      <c r="E343" s="123">
        <v>34866416</v>
      </c>
      <c r="F343" s="219">
        <v>19626</v>
      </c>
      <c r="G343" s="93">
        <v>20300</v>
      </c>
      <c r="H343" s="93">
        <v>1465</v>
      </c>
      <c r="I343" s="93">
        <v>3295</v>
      </c>
      <c r="J343" s="93">
        <v>1365</v>
      </c>
      <c r="K343" s="108">
        <f>(F343*138.66)*SUM(1,Macrogegevens!$C$4,0.5*Macrogegevens!$C$6,Macrogegevens!$C$8)</f>
        <v>2777672.9220120008</v>
      </c>
      <c r="L343" s="108">
        <f t="shared" si="47"/>
        <v>1166561.9000000004</v>
      </c>
      <c r="M343" s="108">
        <v>3534519.7183294906</v>
      </c>
      <c r="N343" s="108">
        <v>2055123.6440522261</v>
      </c>
      <c r="O343" s="108">
        <v>0</v>
      </c>
      <c r="P343" s="108">
        <f t="shared" si="42"/>
        <v>5589643.3623817172</v>
      </c>
      <c r="Q343" s="108">
        <v>41270393</v>
      </c>
      <c r="R343" s="155">
        <v>1328.4979895149386</v>
      </c>
      <c r="S343" s="122">
        <v>0.1003</v>
      </c>
      <c r="T343" s="122">
        <v>0.20169999999999999</v>
      </c>
      <c r="U343" s="122">
        <v>0.1636</v>
      </c>
      <c r="V343" s="122" t="s">
        <v>375</v>
      </c>
      <c r="W343" s="108">
        <v>1514800000</v>
      </c>
      <c r="X343" s="108">
        <v>381500000</v>
      </c>
      <c r="Y343" s="108">
        <v>396200000</v>
      </c>
      <c r="Z343" s="108">
        <f t="shared" si="43"/>
        <v>1519344.4</v>
      </c>
      <c r="AA343" s="108">
        <f t="shared" si="44"/>
        <v>1417668.6999999997</v>
      </c>
      <c r="AB343" s="108">
        <f t="shared" si="45"/>
        <v>4103575</v>
      </c>
      <c r="AC343" s="108">
        <f t="shared" si="46"/>
        <v>1166561.9000000004</v>
      </c>
    </row>
    <row r="344" spans="1:29" x14ac:dyDescent="0.2">
      <c r="A344" s="124" t="s">
        <v>484</v>
      </c>
      <c r="B344" s="99">
        <f t="shared" si="40"/>
        <v>3.02873811883261E-3</v>
      </c>
      <c r="C344" t="s">
        <v>621</v>
      </c>
      <c r="D344" s="99">
        <f t="shared" si="41"/>
        <v>1.9908116385911178E-2</v>
      </c>
      <c r="E344" s="123">
        <v>210656000</v>
      </c>
      <c r="F344" s="219">
        <v>71647</v>
      </c>
      <c r="G344" s="93">
        <v>73600</v>
      </c>
      <c r="H344" s="93">
        <v>3265</v>
      </c>
      <c r="I344" s="93">
        <v>8065</v>
      </c>
      <c r="J344" s="93">
        <v>3135</v>
      </c>
      <c r="K344" s="108">
        <f>(F344*138.66)*SUM(1,Macrogegevens!$C$4,0.5*Macrogegevens!$C$6,Macrogegevens!$C$8)</f>
        <v>10140218.681514001</v>
      </c>
      <c r="L344" s="108">
        <f t="shared" si="47"/>
        <v>854168.95000000112</v>
      </c>
      <c r="M344" s="108">
        <v>16401502.547058681</v>
      </c>
      <c r="N344" s="108">
        <v>8855709.563465327</v>
      </c>
      <c r="O344" s="108">
        <v>13479518.092531225</v>
      </c>
      <c r="P344" s="108">
        <f t="shared" si="42"/>
        <v>38736730.203055233</v>
      </c>
      <c r="Q344" s="108">
        <v>219174000</v>
      </c>
      <c r="R344" s="155">
        <v>3162.0518055378334</v>
      </c>
      <c r="S344" s="122">
        <v>0.14069999999999999</v>
      </c>
      <c r="T344" s="122">
        <v>0.24249999999999999</v>
      </c>
      <c r="U344" s="122">
        <v>0.20230000000000001</v>
      </c>
      <c r="V344" s="122" t="s">
        <v>484</v>
      </c>
      <c r="W344" s="108">
        <v>4522400000</v>
      </c>
      <c r="X344" s="108">
        <v>1006249999.9999999</v>
      </c>
      <c r="Y344" s="108">
        <v>1025499999.9999999</v>
      </c>
      <c r="Z344" s="108">
        <f t="shared" si="43"/>
        <v>6363016.7999999989</v>
      </c>
      <c r="AA344" s="108">
        <f t="shared" si="44"/>
        <v>4514742.75</v>
      </c>
      <c r="AB344" s="108">
        <f t="shared" si="45"/>
        <v>11731928.5</v>
      </c>
      <c r="AC344" s="108">
        <f t="shared" si="46"/>
        <v>854168.95000000112</v>
      </c>
    </row>
    <row r="345" spans="1:29" x14ac:dyDescent="0.2">
      <c r="A345" s="124" t="s">
        <v>249</v>
      </c>
      <c r="B345" s="99">
        <f t="shared" si="40"/>
        <v>-7.9482541248696882E-4</v>
      </c>
      <c r="C345" t="s">
        <v>228</v>
      </c>
      <c r="D345" s="99">
        <f t="shared" si="41"/>
        <v>7.5637642919964818E-2</v>
      </c>
      <c r="E345" s="123">
        <v>43861035</v>
      </c>
      <c r="F345" s="219">
        <v>16216</v>
      </c>
      <c r="G345" s="93">
        <v>16100.000000000002</v>
      </c>
      <c r="H345" s="93">
        <v>1137</v>
      </c>
      <c r="I345" s="93">
        <v>2220</v>
      </c>
      <c r="J345" s="93">
        <v>965</v>
      </c>
      <c r="K345" s="108">
        <f>(F345*138.66)*SUM(1,Macrogegevens!$C$4,0.5*Macrogegevens!$C$6,Macrogegevens!$C$8)</f>
        <v>2295054.7285920004</v>
      </c>
      <c r="L345" s="108">
        <f t="shared" si="47"/>
        <v>818031.90000000014</v>
      </c>
      <c r="M345" s="108">
        <v>3690960.4553060061</v>
      </c>
      <c r="N345" s="108">
        <v>3285984.1177848163</v>
      </c>
      <c r="O345" s="108">
        <v>0</v>
      </c>
      <c r="P345" s="108">
        <f t="shared" si="42"/>
        <v>6976944.5730908224</v>
      </c>
      <c r="Q345" s="108">
        <v>45891051</v>
      </c>
      <c r="R345" s="155">
        <v>-936.53136531365317</v>
      </c>
      <c r="S345" s="122">
        <v>0.1293</v>
      </c>
      <c r="T345" s="122">
        <v>0.1293</v>
      </c>
      <c r="U345" s="122">
        <v>8.9700000000000002E-2</v>
      </c>
      <c r="V345" s="122" t="s">
        <v>249</v>
      </c>
      <c r="W345" s="108">
        <v>952800000</v>
      </c>
      <c r="X345" s="108">
        <v>224000000</v>
      </c>
      <c r="Y345" s="108">
        <v>261099999.99999997</v>
      </c>
      <c r="Z345" s="108">
        <f t="shared" si="43"/>
        <v>1231970.3999999999</v>
      </c>
      <c r="AA345" s="108">
        <f t="shared" si="44"/>
        <v>523838.69999999995</v>
      </c>
      <c r="AB345" s="108">
        <f t="shared" si="45"/>
        <v>2573841</v>
      </c>
      <c r="AC345" s="108">
        <f t="shared" si="46"/>
        <v>818031.90000000014</v>
      </c>
    </row>
    <row r="346" spans="1:29" x14ac:dyDescent="0.2">
      <c r="A346" s="124" t="s">
        <v>272</v>
      </c>
      <c r="B346" s="99">
        <f t="shared" si="40"/>
        <v>9.8810244000806617E-3</v>
      </c>
      <c r="C346" t="s">
        <v>228</v>
      </c>
      <c r="D346" s="99">
        <f t="shared" si="41"/>
        <v>4.2253521126760563E-2</v>
      </c>
      <c r="E346" s="123">
        <v>8428200</v>
      </c>
      <c r="F346" s="219">
        <v>1102</v>
      </c>
      <c r="G346" s="93">
        <v>1200</v>
      </c>
      <c r="H346" s="93">
        <v>142</v>
      </c>
      <c r="I346" s="93">
        <v>365</v>
      </c>
      <c r="J346" s="93">
        <v>130</v>
      </c>
      <c r="K346" s="108">
        <f>(F346*138.66)*SUM(1,Macrogegevens!$C$4,0.5*Macrogegevens!$C$6,Macrogegevens!$C$8)</f>
        <v>155966.34872400004</v>
      </c>
      <c r="L346" s="108">
        <f t="shared" si="47"/>
        <v>243511.24</v>
      </c>
      <c r="M346" s="108">
        <v>185441.01820339437</v>
      </c>
      <c r="N346" s="108">
        <v>98017.304423035835</v>
      </c>
      <c r="O346" s="108">
        <v>0</v>
      </c>
      <c r="P346" s="108">
        <f t="shared" si="42"/>
        <v>283458.32262643019</v>
      </c>
      <c r="Q346" s="108">
        <v>8358000</v>
      </c>
      <c r="R346" s="155">
        <v>5603.4482758620688</v>
      </c>
      <c r="S346" s="122">
        <v>8.6040000000000005E-2</v>
      </c>
      <c r="T346" s="122">
        <v>0.15207000000000001</v>
      </c>
      <c r="U346" s="122">
        <v>0.12021</v>
      </c>
      <c r="V346" s="122" t="s">
        <v>272</v>
      </c>
      <c r="W346" s="108">
        <v>210000000</v>
      </c>
      <c r="X346" s="108">
        <v>52500000</v>
      </c>
      <c r="Y346" s="108">
        <v>58100000</v>
      </c>
      <c r="Z346" s="108">
        <f t="shared" si="43"/>
        <v>180684.00000000003</v>
      </c>
      <c r="AA346" s="108">
        <f t="shared" si="44"/>
        <v>149678.76</v>
      </c>
      <c r="AB346" s="108">
        <f t="shared" si="45"/>
        <v>573874</v>
      </c>
      <c r="AC346" s="108">
        <f t="shared" si="46"/>
        <v>243511.24</v>
      </c>
    </row>
    <row r="347" spans="1:29" x14ac:dyDescent="0.2">
      <c r="A347" s="124" t="s">
        <v>508</v>
      </c>
      <c r="B347" s="99">
        <f t="shared" si="40"/>
        <v>3.7762992267577774E-3</v>
      </c>
      <c r="C347" t="s">
        <v>621</v>
      </c>
      <c r="D347" s="99">
        <f t="shared" si="41"/>
        <v>3.0622489959839357E-2</v>
      </c>
      <c r="E347" s="123">
        <v>140774000</v>
      </c>
      <c r="F347" s="219">
        <v>44488</v>
      </c>
      <c r="G347" s="93">
        <v>46000</v>
      </c>
      <c r="H347" s="93">
        <v>1992</v>
      </c>
      <c r="I347" s="93">
        <v>4570</v>
      </c>
      <c r="J347" s="93">
        <v>1870</v>
      </c>
      <c r="K347" s="108">
        <f>(F347*138.66)*SUM(1,Macrogegevens!$C$4,0.5*Macrogegevens!$C$6,Macrogegevens!$C$8)</f>
        <v>6296398.2958560009</v>
      </c>
      <c r="L347" s="108">
        <f t="shared" si="47"/>
        <v>0</v>
      </c>
      <c r="M347" s="108">
        <v>11031240.32089529</v>
      </c>
      <c r="N347" s="108">
        <v>3726503.015749244</v>
      </c>
      <c r="O347" s="108">
        <v>33954520.80437275</v>
      </c>
      <c r="P347" s="108">
        <f t="shared" si="42"/>
        <v>48712264.141017288</v>
      </c>
      <c r="Q347" s="108">
        <v>138716000</v>
      </c>
      <c r="R347" s="155">
        <v>4661.7762347407324</v>
      </c>
      <c r="S347" s="122">
        <v>0.13550000000000001</v>
      </c>
      <c r="T347" s="122">
        <v>0.30959999999999999</v>
      </c>
      <c r="U347" s="122">
        <v>0.24590000000000001</v>
      </c>
      <c r="V347" s="122" t="s">
        <v>508</v>
      </c>
      <c r="W347" s="108">
        <v>2747200000</v>
      </c>
      <c r="X347" s="108">
        <v>861700000</v>
      </c>
      <c r="Y347" s="108">
        <v>890400000</v>
      </c>
      <c r="Z347" s="108">
        <f t="shared" si="43"/>
        <v>3722456</v>
      </c>
      <c r="AA347" s="108">
        <f t="shared" si="44"/>
        <v>4857316.8</v>
      </c>
      <c r="AB347" s="108">
        <f t="shared" si="45"/>
        <v>8053747</v>
      </c>
      <c r="AC347" s="108">
        <f t="shared" si="46"/>
        <v>-526025.79999999981</v>
      </c>
    </row>
    <row r="348" spans="1:29" x14ac:dyDescent="0.2">
      <c r="A348" s="124" t="s">
        <v>604</v>
      </c>
      <c r="B348" s="99">
        <f t="shared" si="40"/>
        <v>-6.2554892366152243E-3</v>
      </c>
      <c r="C348" t="s">
        <v>689</v>
      </c>
      <c r="D348" s="99">
        <f t="shared" si="41"/>
        <v>5.3805774278215222E-2</v>
      </c>
      <c r="E348" s="123">
        <v>24397000</v>
      </c>
      <c r="F348" s="219">
        <v>12398</v>
      </c>
      <c r="G348" s="93">
        <v>11700</v>
      </c>
      <c r="H348" s="93">
        <v>762</v>
      </c>
      <c r="I348" s="93">
        <v>1625</v>
      </c>
      <c r="J348" s="93">
        <v>680</v>
      </c>
      <c r="K348" s="108">
        <f>(F348*138.66)*SUM(1,Macrogegevens!$C$4,0.5*Macrogegevens!$C$6,Macrogegevens!$C$8)</f>
        <v>1754692.1882760003</v>
      </c>
      <c r="L348" s="108">
        <f t="shared" si="47"/>
        <v>396109.55049999995</v>
      </c>
      <c r="M348" s="108">
        <v>2528660.1782949078</v>
      </c>
      <c r="N348" s="108">
        <v>2133683.6345504927</v>
      </c>
      <c r="O348" s="108">
        <v>0</v>
      </c>
      <c r="P348" s="108">
        <f t="shared" si="42"/>
        <v>4662343.8128454005</v>
      </c>
      <c r="Q348" s="108">
        <v>23343000</v>
      </c>
      <c r="R348" s="155">
        <v>-9.3678658584586323</v>
      </c>
      <c r="S348" s="122">
        <v>0.14077600000000001</v>
      </c>
      <c r="T348" s="122">
        <v>0.169766</v>
      </c>
      <c r="U348" s="122">
        <v>0.14028099999999999</v>
      </c>
      <c r="V348" s="122" t="s">
        <v>604</v>
      </c>
      <c r="W348" s="108">
        <v>906000000</v>
      </c>
      <c r="X348" s="108">
        <v>91700000</v>
      </c>
      <c r="Y348" s="108">
        <v>106750000</v>
      </c>
      <c r="Z348" s="108">
        <f t="shared" si="43"/>
        <v>1275430.56</v>
      </c>
      <c r="AA348" s="108">
        <f t="shared" si="44"/>
        <v>305425.38949999999</v>
      </c>
      <c r="AB348" s="108">
        <f t="shared" si="45"/>
        <v>1976965.5</v>
      </c>
      <c r="AC348" s="108">
        <f t="shared" si="46"/>
        <v>396109.55049999995</v>
      </c>
    </row>
    <row r="349" spans="1:29" x14ac:dyDescent="0.2">
      <c r="A349" s="124" t="s">
        <v>486</v>
      </c>
      <c r="B349" s="99">
        <f t="shared" si="40"/>
        <v>-1.5114151618805186E-3</v>
      </c>
      <c r="C349" t="s">
        <v>689</v>
      </c>
      <c r="D349" s="99">
        <f t="shared" si="41"/>
        <v>5.4195804195804193E-2</v>
      </c>
      <c r="E349" s="123">
        <v>47644000</v>
      </c>
      <c r="F349" s="219">
        <v>25142</v>
      </c>
      <c r="G349" s="93">
        <v>24800</v>
      </c>
      <c r="H349" s="93">
        <v>1430</v>
      </c>
      <c r="I349" s="93">
        <v>3250</v>
      </c>
      <c r="J349" s="93">
        <v>1275</v>
      </c>
      <c r="K349" s="108">
        <f>(F349*138.66)*SUM(1,Macrogegevens!$C$4,0.5*Macrogegevens!$C$6,Macrogegevens!$C$8)</f>
        <v>3558353.8472040002</v>
      </c>
      <c r="L349" s="108">
        <f t="shared" si="47"/>
        <v>1403184.4</v>
      </c>
      <c r="M349" s="108">
        <v>4419218.5045603989</v>
      </c>
      <c r="N349" s="108">
        <v>2185873.1315392479</v>
      </c>
      <c r="O349" s="108">
        <v>0</v>
      </c>
      <c r="P349" s="108">
        <f t="shared" si="42"/>
        <v>6605091.6360996468</v>
      </c>
      <c r="Q349" s="108">
        <v>55166000</v>
      </c>
      <c r="R349" s="155">
        <v>-313.57088057284119</v>
      </c>
      <c r="S349" s="122">
        <v>0.1225</v>
      </c>
      <c r="T349" s="122">
        <v>0.19570000000000001</v>
      </c>
      <c r="U349" s="122">
        <v>0.1542</v>
      </c>
      <c r="V349" s="122" t="s">
        <v>486</v>
      </c>
      <c r="W349" s="108">
        <v>2455200000</v>
      </c>
      <c r="X349" s="108">
        <v>193200000</v>
      </c>
      <c r="Y349" s="108">
        <v>194600000</v>
      </c>
      <c r="Z349" s="108">
        <f t="shared" si="43"/>
        <v>3007620</v>
      </c>
      <c r="AA349" s="108">
        <f t="shared" si="44"/>
        <v>678165.60000000009</v>
      </c>
      <c r="AB349" s="108">
        <f t="shared" si="45"/>
        <v>5088970</v>
      </c>
      <c r="AC349" s="108">
        <f t="shared" si="46"/>
        <v>1403184.4</v>
      </c>
    </row>
    <row r="350" spans="1:29" x14ac:dyDescent="0.2">
      <c r="A350" s="124" t="s">
        <v>345</v>
      </c>
      <c r="B350" s="99">
        <f t="shared" si="40"/>
        <v>-2.8482880069882954E-3</v>
      </c>
      <c r="C350" t="s">
        <v>689</v>
      </c>
      <c r="D350" s="99">
        <f t="shared" si="41"/>
        <v>7.8681552365762894E-2</v>
      </c>
      <c r="E350" s="123">
        <v>46577044</v>
      </c>
      <c r="F350" s="219">
        <v>23913</v>
      </c>
      <c r="G350" s="93">
        <v>23300</v>
      </c>
      <c r="H350" s="93">
        <v>1881</v>
      </c>
      <c r="I350" s="93">
        <v>3775</v>
      </c>
      <c r="J350" s="93">
        <v>1585</v>
      </c>
      <c r="K350" s="108">
        <f>(F350*138.66)*SUM(1,Macrogegevens!$C$4,0.5*Macrogegevens!$C$6,Macrogegevens!$C$8)</f>
        <v>3384413.1552060004</v>
      </c>
      <c r="L350" s="108">
        <f t="shared" si="47"/>
        <v>1435525.8000000003</v>
      </c>
      <c r="M350" s="108">
        <v>4358632.6574762976</v>
      </c>
      <c r="N350" s="108">
        <v>3343309.2908571577</v>
      </c>
      <c r="O350" s="108">
        <v>0</v>
      </c>
      <c r="P350" s="108">
        <f t="shared" si="42"/>
        <v>7701941.9483334552</v>
      </c>
      <c r="Q350" s="108">
        <v>48374035</v>
      </c>
      <c r="R350" s="155">
        <v>1906.276291435302</v>
      </c>
      <c r="S350" s="122">
        <v>0.11899999999999999</v>
      </c>
      <c r="T350" s="122">
        <v>0.16980000000000001</v>
      </c>
      <c r="U350" s="122">
        <v>0.1366</v>
      </c>
      <c r="V350" s="122" t="s">
        <v>345</v>
      </c>
      <c r="W350" s="108">
        <v>2001600000</v>
      </c>
      <c r="X350" s="108">
        <v>425250000</v>
      </c>
      <c r="Y350" s="108">
        <v>460950000</v>
      </c>
      <c r="Z350" s="108">
        <f t="shared" si="43"/>
        <v>2381903.9999999995</v>
      </c>
      <c r="AA350" s="108">
        <f t="shared" si="44"/>
        <v>1351732.2000000002</v>
      </c>
      <c r="AB350" s="108">
        <f t="shared" si="45"/>
        <v>5169162</v>
      </c>
      <c r="AC350" s="108">
        <f t="shared" si="46"/>
        <v>1435525.8000000003</v>
      </c>
    </row>
    <row r="351" spans="1:29" x14ac:dyDescent="0.2">
      <c r="A351" s="124" t="s">
        <v>567</v>
      </c>
      <c r="B351" s="99">
        <f t="shared" si="40"/>
        <v>-1.142520764315884E-2</v>
      </c>
      <c r="C351" t="s">
        <v>228</v>
      </c>
      <c r="D351" s="99">
        <f t="shared" si="41"/>
        <v>3.9091389329107239E-2</v>
      </c>
      <c r="E351" s="123">
        <v>59231000</v>
      </c>
      <c r="F351" s="219">
        <v>25859</v>
      </c>
      <c r="G351" s="93">
        <v>23200</v>
      </c>
      <c r="H351" s="93">
        <v>1893</v>
      </c>
      <c r="I351" s="93">
        <v>4645</v>
      </c>
      <c r="J351" s="93">
        <v>1745</v>
      </c>
      <c r="K351" s="108">
        <f>(F351*138.66)*SUM(1,Macrogegevens!$C$4,0.5*Macrogegevens!$C$6,Macrogegevens!$C$8)</f>
        <v>3659831.0450580004</v>
      </c>
      <c r="L351" s="108">
        <f t="shared" si="47"/>
        <v>1466671.5000000002</v>
      </c>
      <c r="M351" s="108">
        <v>4242794.5209618406</v>
      </c>
      <c r="N351" s="108">
        <v>3355145.0220911652</v>
      </c>
      <c r="O351" s="108">
        <v>0</v>
      </c>
      <c r="P351" s="108">
        <f t="shared" si="42"/>
        <v>7597939.5430530058</v>
      </c>
      <c r="Q351" s="108">
        <v>58554000</v>
      </c>
      <c r="R351" s="155">
        <v>2618.5039370078739</v>
      </c>
      <c r="S351" s="122">
        <v>0.12039999999999999</v>
      </c>
      <c r="T351" s="122">
        <v>0.21740000000000001</v>
      </c>
      <c r="U351" s="122">
        <v>0.16750000000000001</v>
      </c>
      <c r="V351" s="122" t="s">
        <v>567</v>
      </c>
      <c r="W351" s="108">
        <v>2741200000</v>
      </c>
      <c r="X351" s="108">
        <v>529549999.99999994</v>
      </c>
      <c r="Y351" s="108">
        <v>553700000</v>
      </c>
      <c r="Z351" s="108">
        <f t="shared" si="43"/>
        <v>3300404.8</v>
      </c>
      <c r="AA351" s="108">
        <f t="shared" si="44"/>
        <v>2078689.2</v>
      </c>
      <c r="AB351" s="108">
        <f t="shared" si="45"/>
        <v>6845765.5</v>
      </c>
      <c r="AC351" s="108">
        <f t="shared" si="46"/>
        <v>1466671.5000000002</v>
      </c>
    </row>
    <row r="352" spans="1:29" x14ac:dyDescent="0.2">
      <c r="A352" s="124" t="s">
        <v>568</v>
      </c>
      <c r="B352" s="99">
        <f t="shared" si="40"/>
        <v>6.1044271913708288E-3</v>
      </c>
      <c r="C352" t="s">
        <v>689</v>
      </c>
      <c r="D352" s="99">
        <f t="shared" si="41"/>
        <v>2.2569444444444444E-2</v>
      </c>
      <c r="E352" s="123">
        <v>36753124</v>
      </c>
      <c r="F352" s="219">
        <v>16873</v>
      </c>
      <c r="G352" s="93">
        <v>17800</v>
      </c>
      <c r="H352" s="93">
        <v>1152</v>
      </c>
      <c r="I352" s="93">
        <v>2960</v>
      </c>
      <c r="J352" s="93">
        <v>1100</v>
      </c>
      <c r="K352" s="108">
        <f>(F352*138.66)*SUM(1,Macrogegevens!$C$4,0.5*Macrogegevens!$C$6,Macrogegevens!$C$8)</f>
        <v>2388040.1107260007</v>
      </c>
      <c r="L352" s="108">
        <f t="shared" si="47"/>
        <v>1330753.8600000001</v>
      </c>
      <c r="M352" s="108">
        <v>2220005.8362115868</v>
      </c>
      <c r="N352" s="108">
        <v>2033510.2579043608</v>
      </c>
      <c r="O352" s="108">
        <v>0</v>
      </c>
      <c r="P352" s="108">
        <f t="shared" si="42"/>
        <v>4253516.0941159474</v>
      </c>
      <c r="Q352" s="108">
        <v>29949975</v>
      </c>
      <c r="R352" s="155">
        <v>-18.326982398838688</v>
      </c>
      <c r="S352" s="122">
        <v>0.10808</v>
      </c>
      <c r="T352" s="122">
        <v>0.16424</v>
      </c>
      <c r="U352" s="122">
        <v>0.13211000000000001</v>
      </c>
      <c r="V352" s="122" t="s">
        <v>568</v>
      </c>
      <c r="W352" s="108">
        <v>1746800000</v>
      </c>
      <c r="X352" s="108">
        <v>142450000</v>
      </c>
      <c r="Y352" s="108">
        <v>151200000</v>
      </c>
      <c r="Z352" s="108">
        <f t="shared" si="43"/>
        <v>1887941.44</v>
      </c>
      <c r="AA352" s="108">
        <f t="shared" si="44"/>
        <v>433710.2</v>
      </c>
      <c r="AB352" s="108">
        <f t="shared" si="45"/>
        <v>3652405.5</v>
      </c>
      <c r="AC352" s="108">
        <f t="shared" si="46"/>
        <v>1330753.8600000001</v>
      </c>
    </row>
    <row r="353" spans="1:29" x14ac:dyDescent="0.2">
      <c r="A353" s="124" t="s">
        <v>569</v>
      </c>
      <c r="B353" s="99">
        <f t="shared" si="40"/>
        <v>3.0465834742467376E-3</v>
      </c>
      <c r="C353" t="s">
        <v>228</v>
      </c>
      <c r="D353" s="99">
        <f t="shared" si="41"/>
        <v>2.8862478777589132E-2</v>
      </c>
      <c r="E353" s="123">
        <v>121153000</v>
      </c>
      <c r="F353" s="219">
        <v>46719</v>
      </c>
      <c r="G353" s="93">
        <v>48000</v>
      </c>
      <c r="H353" s="93">
        <v>3534</v>
      </c>
      <c r="I353" s="93">
        <v>9070</v>
      </c>
      <c r="J353" s="93">
        <v>3330</v>
      </c>
      <c r="K353" s="108">
        <f>(F353*138.66)*SUM(1,Macrogegevens!$C$4,0.5*Macrogegevens!$C$6,Macrogegevens!$C$8)</f>
        <v>6612152.3103780011</v>
      </c>
      <c r="L353" s="108">
        <f t="shared" si="47"/>
        <v>2420075.2000000011</v>
      </c>
      <c r="M353" s="108">
        <v>9042479.3927521035</v>
      </c>
      <c r="N353" s="108">
        <v>5755626.1386469509</v>
      </c>
      <c r="O353" s="108">
        <v>0</v>
      </c>
      <c r="P353" s="108">
        <f t="shared" si="42"/>
        <v>14798105.531399054</v>
      </c>
      <c r="Q353" s="108">
        <v>119688000</v>
      </c>
      <c r="R353" s="155">
        <v>3012.7210334200345</v>
      </c>
      <c r="S353" s="122">
        <v>0.1158</v>
      </c>
      <c r="T353" s="122">
        <v>0.19989999999999999</v>
      </c>
      <c r="U353" s="122">
        <v>0.1313</v>
      </c>
      <c r="V353" s="122" t="s">
        <v>569</v>
      </c>
      <c r="W353" s="108">
        <v>3369200000</v>
      </c>
      <c r="X353" s="108">
        <v>1010099999.9999999</v>
      </c>
      <c r="Y353" s="108">
        <v>1052099999.9999999</v>
      </c>
      <c r="Z353" s="108">
        <f t="shared" si="43"/>
        <v>3901533.5999999996</v>
      </c>
      <c r="AA353" s="108">
        <f t="shared" si="44"/>
        <v>3400597.1999999993</v>
      </c>
      <c r="AB353" s="108">
        <f t="shared" si="45"/>
        <v>9722206</v>
      </c>
      <c r="AC353" s="108">
        <f t="shared" si="46"/>
        <v>2420075.2000000011</v>
      </c>
    </row>
    <row r="354" spans="1:29" x14ac:dyDescent="0.2">
      <c r="A354" s="124" t="s">
        <v>487</v>
      </c>
      <c r="B354" s="99">
        <f t="shared" si="40"/>
        <v>7.1060186809046855E-3</v>
      </c>
      <c r="C354" t="s">
        <v>689</v>
      </c>
      <c r="D354" s="99">
        <f t="shared" si="41"/>
        <v>1.6756433273488927E-2</v>
      </c>
      <c r="E354" s="123">
        <v>77866000</v>
      </c>
      <c r="F354" s="219">
        <v>25659</v>
      </c>
      <c r="G354" s="93">
        <v>27300</v>
      </c>
      <c r="H354" s="93">
        <v>1671</v>
      </c>
      <c r="I354" s="93">
        <v>4105</v>
      </c>
      <c r="J354" s="93">
        <v>1615</v>
      </c>
      <c r="K354" s="108">
        <f>(F354*138.66)*SUM(1,Macrogegevens!$C$4,0.5*Macrogegevens!$C$6,Macrogegevens!$C$8)</f>
        <v>3631524.9926580004</v>
      </c>
      <c r="L354" s="108">
        <f t="shared" si="47"/>
        <v>0</v>
      </c>
      <c r="M354" s="108">
        <v>5757380.6250519175</v>
      </c>
      <c r="N354" s="108">
        <v>2572725.4906272725</v>
      </c>
      <c r="O354" s="108">
        <v>0</v>
      </c>
      <c r="P354" s="108">
        <f t="shared" si="42"/>
        <v>8330106.1156791896</v>
      </c>
      <c r="Q354" s="108">
        <v>77853000</v>
      </c>
      <c r="R354" s="155">
        <v>1531.7716535433071</v>
      </c>
      <c r="S354" s="122">
        <v>0.14660000000000001</v>
      </c>
      <c r="T354" s="122">
        <v>0.2717</v>
      </c>
      <c r="U354" s="122">
        <v>0.219</v>
      </c>
      <c r="V354" s="122" t="s">
        <v>487</v>
      </c>
      <c r="W354" s="108">
        <v>1751200000</v>
      </c>
      <c r="X354" s="108">
        <v>470749999.99999994</v>
      </c>
      <c r="Y354" s="108">
        <v>477399999.99999994</v>
      </c>
      <c r="Z354" s="108">
        <f t="shared" si="43"/>
        <v>2567259.2000000002</v>
      </c>
      <c r="AA354" s="108">
        <f t="shared" si="44"/>
        <v>2324533.7499999995</v>
      </c>
      <c r="AB354" s="108">
        <f t="shared" si="45"/>
        <v>4831836.5</v>
      </c>
      <c r="AC354" s="108">
        <f t="shared" si="46"/>
        <v>-59956.449999999721</v>
      </c>
    </row>
    <row r="355" spans="1:29" x14ac:dyDescent="0.2">
      <c r="A355" s="124" t="s">
        <v>346</v>
      </c>
      <c r="B355" s="99">
        <f t="shared" si="40"/>
        <v>7.1735842616622233E-3</v>
      </c>
      <c r="C355" t="s">
        <v>228</v>
      </c>
      <c r="D355" s="99">
        <f t="shared" si="41"/>
        <v>3.5264483627204031E-2</v>
      </c>
      <c r="E355" s="123">
        <v>85702000</v>
      </c>
      <c r="F355" s="219">
        <v>37762</v>
      </c>
      <c r="G355" s="93">
        <v>40200</v>
      </c>
      <c r="H355" s="93">
        <v>1985</v>
      </c>
      <c r="I355" s="93">
        <v>4275</v>
      </c>
      <c r="J355" s="93">
        <v>1845</v>
      </c>
      <c r="K355" s="108">
        <f>(F355*138.66)*SUM(1,Macrogegevens!$C$4,0.5*Macrogegevens!$C$6,Macrogegevens!$C$8)</f>
        <v>5344465.7536440007</v>
      </c>
      <c r="L355" s="108">
        <f t="shared" si="47"/>
        <v>269731.62000000011</v>
      </c>
      <c r="M355" s="108">
        <v>6695812.9129546173</v>
      </c>
      <c r="N355" s="108">
        <v>4343522.1270794654</v>
      </c>
      <c r="O355" s="108">
        <v>0</v>
      </c>
      <c r="P355" s="108">
        <f t="shared" si="42"/>
        <v>11039335.040034082</v>
      </c>
      <c r="Q355" s="108">
        <v>81031000</v>
      </c>
      <c r="R355" s="155">
        <v>1675.3392756765438</v>
      </c>
      <c r="S355" s="122">
        <v>0.13661000000000001</v>
      </c>
      <c r="T355" s="122">
        <v>0.27604000000000001</v>
      </c>
      <c r="U355" s="122">
        <v>0.22101999999999999</v>
      </c>
      <c r="V355" s="122" t="s">
        <v>346</v>
      </c>
      <c r="W355" s="108">
        <v>2686400000</v>
      </c>
      <c r="X355" s="108">
        <v>618800000</v>
      </c>
      <c r="Y355" s="108">
        <v>639100000</v>
      </c>
      <c r="Z355" s="108">
        <f t="shared" si="43"/>
        <v>3669891.04</v>
      </c>
      <c r="AA355" s="108">
        <f t="shared" si="44"/>
        <v>3120674.34</v>
      </c>
      <c r="AB355" s="108">
        <f t="shared" si="45"/>
        <v>7060297</v>
      </c>
      <c r="AC355" s="108">
        <f t="shared" si="46"/>
        <v>269731.62000000011</v>
      </c>
    </row>
    <row r="356" spans="1:29" x14ac:dyDescent="0.2">
      <c r="A356" s="124" t="s">
        <v>488</v>
      </c>
      <c r="B356" s="99">
        <f t="shared" si="40"/>
        <v>-4.2403557761919539E-3</v>
      </c>
      <c r="C356" t="s">
        <v>689</v>
      </c>
      <c r="D356" s="99">
        <f t="shared" si="41"/>
        <v>1.5453116815086433E-2</v>
      </c>
      <c r="E356" s="123">
        <v>56914000</v>
      </c>
      <c r="F356" s="219">
        <v>25784</v>
      </c>
      <c r="G356" s="93">
        <v>24800</v>
      </c>
      <c r="H356" s="93">
        <v>1909</v>
      </c>
      <c r="I356" s="93">
        <v>4755</v>
      </c>
      <c r="J356" s="93">
        <v>1850</v>
      </c>
      <c r="K356" s="108">
        <f>(F356*138.66)*SUM(1,Macrogegevens!$C$4,0.5*Macrogegevens!$C$6,Macrogegevens!$C$8)</f>
        <v>3649216.2754080007</v>
      </c>
      <c r="L356" s="108">
        <f t="shared" si="47"/>
        <v>2641047.0000000005</v>
      </c>
      <c r="M356" s="108">
        <v>3003041.7944704029</v>
      </c>
      <c r="N356" s="108">
        <v>2804898.4893999118</v>
      </c>
      <c r="O356" s="108">
        <v>0</v>
      </c>
      <c r="P356" s="108">
        <f t="shared" si="42"/>
        <v>5807940.2838703152</v>
      </c>
      <c r="Q356" s="108">
        <v>56017000</v>
      </c>
      <c r="R356" s="155">
        <v>-382.66966222497678</v>
      </c>
      <c r="S356" s="122">
        <v>0.11609999999999999</v>
      </c>
      <c r="T356" s="122">
        <v>0.23139999999999999</v>
      </c>
      <c r="U356" s="122">
        <v>0.18529999999999999</v>
      </c>
      <c r="V356" s="122" t="s">
        <v>488</v>
      </c>
      <c r="W356" s="108">
        <v>4573600000</v>
      </c>
      <c r="X356" s="108">
        <v>400750000</v>
      </c>
      <c r="Y356" s="108">
        <v>408800000</v>
      </c>
      <c r="Z356" s="108">
        <f t="shared" si="43"/>
        <v>5309949.5999999996</v>
      </c>
      <c r="AA356" s="108">
        <f t="shared" si="44"/>
        <v>1684841.9</v>
      </c>
      <c r="AB356" s="108">
        <f t="shared" si="45"/>
        <v>9635838.5</v>
      </c>
      <c r="AC356" s="108">
        <f t="shared" si="46"/>
        <v>2641047.0000000005</v>
      </c>
    </row>
    <row r="357" spans="1:29" x14ac:dyDescent="0.2">
      <c r="A357" s="124" t="s">
        <v>425</v>
      </c>
      <c r="B357" s="99">
        <f t="shared" si="40"/>
        <v>-3.1101780576938028E-4</v>
      </c>
      <c r="C357" t="s">
        <v>689</v>
      </c>
      <c r="D357" s="99">
        <f t="shared" si="41"/>
        <v>6.1335403726708072E-2</v>
      </c>
      <c r="E357" s="123">
        <v>36723014</v>
      </c>
      <c r="F357" s="219">
        <v>17148</v>
      </c>
      <c r="G357" s="93">
        <v>17100</v>
      </c>
      <c r="H357" s="93">
        <v>1288</v>
      </c>
      <c r="I357" s="93">
        <v>2880</v>
      </c>
      <c r="J357" s="93">
        <v>1130</v>
      </c>
      <c r="K357" s="108">
        <f>(F357*138.66)*SUM(1,Macrogegevens!$C$4,0.5*Macrogegevens!$C$6,Macrogegevens!$C$8)</f>
        <v>2426960.9327760004</v>
      </c>
      <c r="L357" s="108">
        <f t="shared" si="47"/>
        <v>1328013.1499999999</v>
      </c>
      <c r="M357" s="108">
        <v>2163369.2563991249</v>
      </c>
      <c r="N357" s="108">
        <v>1257018.765107573</v>
      </c>
      <c r="O357" s="108">
        <v>0</v>
      </c>
      <c r="P357" s="108">
        <f t="shared" si="42"/>
        <v>3420388.0215066979</v>
      </c>
      <c r="Q357" s="108">
        <v>36034042</v>
      </c>
      <c r="R357" s="155">
        <v>-39.514568798733656</v>
      </c>
      <c r="S357" s="122">
        <v>9.5600000000000004E-2</v>
      </c>
      <c r="T357" s="122">
        <v>0.1847</v>
      </c>
      <c r="U357" s="122">
        <v>0.1484</v>
      </c>
      <c r="V357" s="122" t="s">
        <v>425</v>
      </c>
      <c r="W357" s="108">
        <v>1554800000</v>
      </c>
      <c r="X357" s="108">
        <v>115850000</v>
      </c>
      <c r="Y357" s="108">
        <v>123899999.99999999</v>
      </c>
      <c r="Z357" s="108">
        <f t="shared" si="43"/>
        <v>1486388.8</v>
      </c>
      <c r="AA357" s="108">
        <f t="shared" si="44"/>
        <v>397842.55</v>
      </c>
      <c r="AB357" s="108">
        <f t="shared" si="45"/>
        <v>3212244.5</v>
      </c>
      <c r="AC357" s="108">
        <f t="shared" si="46"/>
        <v>1328013.1499999999</v>
      </c>
    </row>
    <row r="358" spans="1:29" x14ac:dyDescent="0.2">
      <c r="A358" s="124" t="s">
        <v>605</v>
      </c>
      <c r="B358" s="99">
        <f t="shared" si="40"/>
        <v>1.0626992561105207E-3</v>
      </c>
      <c r="C358" t="s">
        <v>621</v>
      </c>
      <c r="D358" s="99">
        <f t="shared" si="41"/>
        <v>3.5187461585740626E-2</v>
      </c>
      <c r="E358" s="123">
        <v>136354162</v>
      </c>
      <c r="F358" s="219">
        <v>48932</v>
      </c>
      <c r="G358" s="93">
        <v>49400</v>
      </c>
      <c r="H358" s="93">
        <v>3254</v>
      </c>
      <c r="I358" s="93">
        <v>7435</v>
      </c>
      <c r="J358" s="93">
        <v>3025</v>
      </c>
      <c r="K358" s="108">
        <f>(F358*138.66)*SUM(1,Macrogegevens!$C$4,0.5*Macrogegevens!$C$6,Macrogegevens!$C$8)</f>
        <v>6925358.7801840017</v>
      </c>
      <c r="L358" s="108">
        <f t="shared" si="47"/>
        <v>3933333.25</v>
      </c>
      <c r="M358" s="108">
        <v>10790201.548136523</v>
      </c>
      <c r="N358" s="108">
        <v>6578225.2337459056</v>
      </c>
      <c r="O358" s="108">
        <v>0</v>
      </c>
      <c r="P358" s="108">
        <f t="shared" si="42"/>
        <v>17368426.781882428</v>
      </c>
      <c r="Q358" s="108">
        <v>137483727</v>
      </c>
      <c r="R358" s="155">
        <v>1809.2083539706125</v>
      </c>
      <c r="S358" s="122">
        <v>0.10249999999999999</v>
      </c>
      <c r="T358" s="122">
        <v>0.1464</v>
      </c>
      <c r="U358" s="122">
        <v>8.6300000000000002E-2</v>
      </c>
      <c r="V358" s="122" t="s">
        <v>605</v>
      </c>
      <c r="W358" s="108">
        <v>3603600000</v>
      </c>
      <c r="X358" s="108">
        <v>917000000</v>
      </c>
      <c r="Y358" s="108">
        <v>946749999.99999988</v>
      </c>
      <c r="Z358" s="108">
        <f t="shared" si="43"/>
        <v>3693689.9999999995</v>
      </c>
      <c r="AA358" s="108">
        <f t="shared" si="44"/>
        <v>2159533.25</v>
      </c>
      <c r="AB358" s="108">
        <f t="shared" si="45"/>
        <v>9786556.5</v>
      </c>
      <c r="AC358" s="108">
        <f t="shared" si="46"/>
        <v>3933333.25</v>
      </c>
    </row>
    <row r="359" spans="1:29" x14ac:dyDescent="0.2">
      <c r="A359" s="124" t="s">
        <v>426</v>
      </c>
      <c r="B359" s="99">
        <f t="shared" si="40"/>
        <v>5.7587152796700998E-3</v>
      </c>
      <c r="C359" t="s">
        <v>228</v>
      </c>
      <c r="D359" s="99">
        <f t="shared" si="41"/>
        <v>3.530979347101932E-2</v>
      </c>
      <c r="E359" s="123">
        <v>39266000</v>
      </c>
      <c r="F359" s="219">
        <v>18349</v>
      </c>
      <c r="G359" s="93">
        <v>19300</v>
      </c>
      <c r="H359" s="93">
        <v>1501</v>
      </c>
      <c r="I359" s="93">
        <v>3720</v>
      </c>
      <c r="J359" s="93">
        <v>1395</v>
      </c>
      <c r="K359" s="108">
        <f>(F359*138.66)*SUM(1,Macrogegevens!$C$4,0.5*Macrogegevens!$C$6,Macrogegevens!$C$8)</f>
        <v>2596938.7774380003</v>
      </c>
      <c r="L359" s="108">
        <f t="shared" si="47"/>
        <v>1278119.25</v>
      </c>
      <c r="M359" s="108">
        <v>3122334.3952386328</v>
      </c>
      <c r="N359" s="108">
        <v>2600356.238727266</v>
      </c>
      <c r="O359" s="108">
        <v>0</v>
      </c>
      <c r="P359" s="108">
        <f t="shared" si="42"/>
        <v>5722690.6339658983</v>
      </c>
      <c r="Q359" s="108">
        <v>39758000</v>
      </c>
      <c r="R359" s="155">
        <v>1361.6466318893174</v>
      </c>
      <c r="S359" s="122">
        <v>9.5399999999999999E-2</v>
      </c>
      <c r="T359" s="122">
        <v>0.19570000000000001</v>
      </c>
      <c r="U359" s="122">
        <v>0.15659999999999999</v>
      </c>
      <c r="V359" s="122" t="s">
        <v>426</v>
      </c>
      <c r="W359" s="108">
        <v>1502000000</v>
      </c>
      <c r="X359" s="108">
        <v>358050000</v>
      </c>
      <c r="Y359" s="108">
        <v>367150000</v>
      </c>
      <c r="Z359" s="108">
        <f t="shared" si="43"/>
        <v>1432908</v>
      </c>
      <c r="AA359" s="108">
        <f t="shared" si="44"/>
        <v>1275660.75</v>
      </c>
      <c r="AB359" s="108">
        <f t="shared" si="45"/>
        <v>3986688</v>
      </c>
      <c r="AC359" s="108">
        <f t="shared" si="46"/>
        <v>1278119.25</v>
      </c>
    </row>
    <row r="360" spans="1:29" x14ac:dyDescent="0.2">
      <c r="A360" s="124" t="s">
        <v>570</v>
      </c>
      <c r="B360" s="99">
        <f t="shared" si="40"/>
        <v>-6.259425897219387E-4</v>
      </c>
      <c r="C360" t="s">
        <v>689</v>
      </c>
      <c r="D360" s="99">
        <f t="shared" si="41"/>
        <v>2.865940312648034E-2</v>
      </c>
      <c r="E360" s="123">
        <v>48322000</v>
      </c>
      <c r="F360" s="219">
        <v>26449</v>
      </c>
      <c r="G360" s="93">
        <v>26300</v>
      </c>
      <c r="H360" s="93">
        <v>2111</v>
      </c>
      <c r="I360" s="93">
        <v>5430</v>
      </c>
      <c r="J360" s="93">
        <v>1990</v>
      </c>
      <c r="K360" s="108">
        <f>(F360*138.66)*SUM(1,Macrogegevens!$C$4,0.5*Macrogegevens!$C$6,Macrogegevens!$C$8)</f>
        <v>3743333.8996380004</v>
      </c>
      <c r="L360" s="108">
        <f t="shared" si="47"/>
        <v>1937997.2</v>
      </c>
      <c r="M360" s="108">
        <v>4054099.6640587044</v>
      </c>
      <c r="N360" s="108">
        <v>3029089.1969614285</v>
      </c>
      <c r="O360" s="108">
        <v>0</v>
      </c>
      <c r="P360" s="108">
        <f t="shared" si="42"/>
        <v>7083188.8610201329</v>
      </c>
      <c r="Q360" s="108">
        <v>48354000</v>
      </c>
      <c r="R360" s="155">
        <v>926.3584998672784</v>
      </c>
      <c r="S360" s="122">
        <v>9.7900000000000001E-2</v>
      </c>
      <c r="T360" s="122">
        <v>0.1207</v>
      </c>
      <c r="U360" s="122">
        <v>0.1012</v>
      </c>
      <c r="V360" s="122" t="s">
        <v>570</v>
      </c>
      <c r="W360" s="108">
        <v>1918400000</v>
      </c>
      <c r="X360" s="108">
        <v>268800000</v>
      </c>
      <c r="Y360" s="108">
        <v>289800000</v>
      </c>
      <c r="Z360" s="108">
        <f t="shared" si="43"/>
        <v>1878113.6</v>
      </c>
      <c r="AA360" s="108">
        <f t="shared" si="44"/>
        <v>617719.19999999995</v>
      </c>
      <c r="AB360" s="108">
        <f t="shared" si="45"/>
        <v>4433830</v>
      </c>
      <c r="AC360" s="108">
        <f t="shared" si="46"/>
        <v>1937997.2</v>
      </c>
    </row>
    <row r="361" spans="1:29" x14ac:dyDescent="0.2">
      <c r="A361" s="124" t="s">
        <v>347</v>
      </c>
      <c r="B361" s="99">
        <f t="shared" si="40"/>
        <v>-9.3829288142084355E-3</v>
      </c>
      <c r="C361" t="s">
        <v>689</v>
      </c>
      <c r="D361" s="99">
        <f t="shared" si="41"/>
        <v>6.030150753768844E-2</v>
      </c>
      <c r="E361" s="123">
        <v>45914528</v>
      </c>
      <c r="F361" s="219">
        <v>18568</v>
      </c>
      <c r="G361" s="93">
        <v>17000</v>
      </c>
      <c r="H361" s="93">
        <v>1592</v>
      </c>
      <c r="I361" s="93">
        <v>3545</v>
      </c>
      <c r="J361" s="93">
        <v>1400</v>
      </c>
      <c r="K361" s="108">
        <f>(F361*138.66)*SUM(1,Macrogegevens!$C$4,0.5*Macrogegevens!$C$6,Macrogegevens!$C$8)</f>
        <v>2627933.9048160003</v>
      </c>
      <c r="L361" s="108">
        <f t="shared" si="47"/>
        <v>717568.69999999984</v>
      </c>
      <c r="M361" s="108">
        <v>2975796.2420285908</v>
      </c>
      <c r="N361" s="108">
        <v>1838747.4329553915</v>
      </c>
      <c r="O361" s="108">
        <v>0</v>
      </c>
      <c r="P361" s="108">
        <f t="shared" si="42"/>
        <v>4814543.674983982</v>
      </c>
      <c r="Q361" s="108">
        <v>44517450</v>
      </c>
      <c r="R361" s="155">
        <v>2065.6058219736055</v>
      </c>
      <c r="S361" s="122">
        <v>0.1198</v>
      </c>
      <c r="T361" s="122">
        <v>0.216</v>
      </c>
      <c r="U361" s="122">
        <v>0.19939999999999999</v>
      </c>
      <c r="V361" s="122" t="s">
        <v>347</v>
      </c>
      <c r="W361" s="108">
        <v>1412800000</v>
      </c>
      <c r="X361" s="108">
        <v>193550000</v>
      </c>
      <c r="Y361" s="108">
        <v>231350000</v>
      </c>
      <c r="Z361" s="108">
        <f t="shared" si="43"/>
        <v>1692534.4000000001</v>
      </c>
      <c r="AA361" s="108">
        <f t="shared" si="44"/>
        <v>879379.9</v>
      </c>
      <c r="AB361" s="108">
        <f t="shared" si="45"/>
        <v>3289483</v>
      </c>
      <c r="AC361" s="108">
        <f t="shared" si="46"/>
        <v>717568.69999999984</v>
      </c>
    </row>
    <row r="362" spans="1:29" x14ac:dyDescent="0.2">
      <c r="A362" s="124" t="s">
        <v>226</v>
      </c>
      <c r="B362" s="99">
        <f t="shared" si="40"/>
        <v>-2.7838930239601168E-3</v>
      </c>
      <c r="C362" t="s">
        <v>228</v>
      </c>
      <c r="D362" s="99">
        <f t="shared" si="41"/>
        <v>6.7575945443273402E-2</v>
      </c>
      <c r="E362" s="123">
        <v>46827000</v>
      </c>
      <c r="F362" s="219">
        <v>19078</v>
      </c>
      <c r="G362" s="93">
        <v>18600</v>
      </c>
      <c r="H362" s="93">
        <v>1613</v>
      </c>
      <c r="I362" s="93">
        <v>3040</v>
      </c>
      <c r="J362" s="93">
        <v>1395</v>
      </c>
      <c r="K362" s="108">
        <f>(F362*138.66)*SUM(1,Macrogegevens!$C$4,0.5*Macrogegevens!$C$6,Macrogegevens!$C$8)</f>
        <v>2700114.3384360005</v>
      </c>
      <c r="L362" s="108">
        <f t="shared" si="47"/>
        <v>1876668.15</v>
      </c>
      <c r="M362" s="108">
        <v>4262598.4646301279</v>
      </c>
      <c r="N362" s="108">
        <v>3094707.3103390522</v>
      </c>
      <c r="O362" s="108">
        <v>0</v>
      </c>
      <c r="P362" s="108">
        <f t="shared" si="42"/>
        <v>7357305.7749691801</v>
      </c>
      <c r="Q362" s="108">
        <v>48546000</v>
      </c>
      <c r="R362" s="155">
        <v>292.83424671698896</v>
      </c>
      <c r="S362" s="122">
        <v>0.1013</v>
      </c>
      <c r="T362" s="122">
        <v>0.1013</v>
      </c>
      <c r="U362" s="122">
        <v>7.1300000000000002E-2</v>
      </c>
      <c r="V362" s="122" t="s">
        <v>226</v>
      </c>
      <c r="W362" s="108">
        <v>1675200000</v>
      </c>
      <c r="X362" s="108">
        <v>275800000</v>
      </c>
      <c r="Y362" s="108">
        <v>334950000</v>
      </c>
      <c r="Z362" s="108">
        <f t="shared" si="43"/>
        <v>1696977.6</v>
      </c>
      <c r="AA362" s="108">
        <f t="shared" si="44"/>
        <v>518204.75</v>
      </c>
      <c r="AB362" s="108">
        <f t="shared" si="45"/>
        <v>4091850.5</v>
      </c>
      <c r="AC362" s="108">
        <f t="shared" si="46"/>
        <v>1876668.15</v>
      </c>
    </row>
    <row r="363" spans="1:29" x14ac:dyDescent="0.2">
      <c r="A363" s="124" t="s">
        <v>348</v>
      </c>
      <c r="B363" s="99">
        <f t="shared" si="40"/>
        <v>-8.0657118287222364E-3</v>
      </c>
      <c r="C363" t="s">
        <v>228</v>
      </c>
      <c r="D363" s="99">
        <f t="shared" si="41"/>
        <v>8.7976539589442824E-3</v>
      </c>
      <c r="E363" s="123">
        <v>30133171</v>
      </c>
      <c r="F363" s="219">
        <v>14988</v>
      </c>
      <c r="G363" s="93">
        <v>13900</v>
      </c>
      <c r="H363" s="93">
        <v>682</v>
      </c>
      <c r="I363" s="93">
        <v>1650</v>
      </c>
      <c r="J363" s="93">
        <v>670</v>
      </c>
      <c r="K363" s="108">
        <f>(F363*138.66)*SUM(1,Macrogegevens!$C$4,0.5*Macrogegevens!$C$6,Macrogegevens!$C$8)</f>
        <v>2121255.5668560001</v>
      </c>
      <c r="L363" s="108">
        <f t="shared" si="47"/>
        <v>102920.70000000007</v>
      </c>
      <c r="M363" s="108">
        <v>4108621.3855184335</v>
      </c>
      <c r="N363" s="108">
        <v>1681582.7906428813</v>
      </c>
      <c r="O363" s="108">
        <v>0</v>
      </c>
      <c r="P363" s="108">
        <f t="shared" si="42"/>
        <v>5790204.1761613153</v>
      </c>
      <c r="Q363" s="108">
        <v>29551378</v>
      </c>
      <c r="R363" s="155">
        <v>1366.082562184157</v>
      </c>
      <c r="S363" s="122">
        <v>0.1686</v>
      </c>
      <c r="T363" s="122">
        <v>0.1966</v>
      </c>
      <c r="U363" s="122">
        <v>0.15590000000000001</v>
      </c>
      <c r="V363" s="122" t="s">
        <v>348</v>
      </c>
      <c r="W363" s="108">
        <v>943200000</v>
      </c>
      <c r="X363" s="108">
        <v>81900000</v>
      </c>
      <c r="Y363" s="108">
        <v>83300000</v>
      </c>
      <c r="Z363" s="108">
        <f t="shared" si="43"/>
        <v>1590235.2</v>
      </c>
      <c r="AA363" s="108">
        <f t="shared" si="44"/>
        <v>290880.09999999998</v>
      </c>
      <c r="AB363" s="108">
        <f t="shared" si="45"/>
        <v>1984036</v>
      </c>
      <c r="AC363" s="108">
        <f t="shared" si="46"/>
        <v>102920.70000000007</v>
      </c>
    </row>
    <row r="364" spans="1:29" x14ac:dyDescent="0.2">
      <c r="A364" s="124" t="s">
        <v>489</v>
      </c>
      <c r="B364" s="99">
        <f t="shared" si="40"/>
        <v>1.3878899278084125E-2</v>
      </c>
      <c r="C364" t="s">
        <v>228</v>
      </c>
      <c r="D364" s="99">
        <f t="shared" si="41"/>
        <v>2.9912563276576162E-3</v>
      </c>
      <c r="E364" s="123">
        <v>214141000</v>
      </c>
      <c r="F364" s="219">
        <v>104275</v>
      </c>
      <c r="G364" s="93">
        <v>117300</v>
      </c>
      <c r="H364" s="93">
        <v>8692</v>
      </c>
      <c r="I364" s="93">
        <v>20825</v>
      </c>
      <c r="J364" s="93">
        <v>8640</v>
      </c>
      <c r="K364" s="108">
        <f>(F364*138.66)*SUM(1,Macrogegevens!$C$4,0.5*Macrogegevens!$C$6,Macrogegevens!$C$8)</f>
        <v>14758068.070050003</v>
      </c>
      <c r="L364" s="108">
        <f t="shared" si="47"/>
        <v>5536829.2000000011</v>
      </c>
      <c r="M364" s="108">
        <v>19516635.870951012</v>
      </c>
      <c r="N364" s="108">
        <v>8431074.092480652</v>
      </c>
      <c r="O364" s="108">
        <v>0</v>
      </c>
      <c r="P364" s="108">
        <f t="shared" si="42"/>
        <v>27947709.963431664</v>
      </c>
      <c r="Q364" s="108">
        <v>214452000</v>
      </c>
      <c r="R364" s="155">
        <v>2491.8519409930104</v>
      </c>
      <c r="S364" s="122">
        <v>0.1202</v>
      </c>
      <c r="T364" s="122">
        <v>0.1903</v>
      </c>
      <c r="U364" s="122">
        <v>0.14180000000000001</v>
      </c>
      <c r="V364" s="122" t="s">
        <v>489</v>
      </c>
      <c r="W364" s="108">
        <v>8094800000</v>
      </c>
      <c r="X364" s="108">
        <v>2900800000</v>
      </c>
      <c r="Y364" s="108">
        <v>2970100000</v>
      </c>
      <c r="Z364" s="108">
        <f t="shared" si="43"/>
        <v>9729949.5999999996</v>
      </c>
      <c r="AA364" s="108">
        <f t="shared" si="44"/>
        <v>9731824.1999999993</v>
      </c>
      <c r="AB364" s="108">
        <f t="shared" si="45"/>
        <v>24998603</v>
      </c>
      <c r="AC364" s="108">
        <f t="shared" si="46"/>
        <v>5536829.2000000011</v>
      </c>
    </row>
    <row r="365" spans="1:29" x14ac:dyDescent="0.2">
      <c r="A365" s="124" t="s">
        <v>273</v>
      </c>
      <c r="B365" s="99">
        <f t="shared" si="40"/>
        <v>3.3780842431524144E-3</v>
      </c>
      <c r="C365" t="s">
        <v>228</v>
      </c>
      <c r="D365" s="99">
        <f t="shared" si="41"/>
        <v>6.3824544110399214E-2</v>
      </c>
      <c r="E365" s="123">
        <v>58316000</v>
      </c>
      <c r="F365" s="219">
        <v>25524</v>
      </c>
      <c r="G365" s="93">
        <v>26300</v>
      </c>
      <c r="H365" s="93">
        <v>2029</v>
      </c>
      <c r="I365" s="93">
        <v>4140</v>
      </c>
      <c r="J365" s="93">
        <v>1770</v>
      </c>
      <c r="K365" s="108">
        <f>(F365*138.66)*SUM(1,Macrogegevens!$C$4,0.5*Macrogegevens!$C$6,Macrogegevens!$C$8)</f>
        <v>3612418.4072880005</v>
      </c>
      <c r="L365" s="108">
        <f t="shared" si="47"/>
        <v>846453.34999999986</v>
      </c>
      <c r="M365" s="108">
        <v>5719420.1128258454</v>
      </c>
      <c r="N365" s="108">
        <v>3995598.667902329</v>
      </c>
      <c r="O365" s="108">
        <v>0</v>
      </c>
      <c r="P365" s="108">
        <f t="shared" si="42"/>
        <v>9715018.7807281744</v>
      </c>
      <c r="Q365" s="108">
        <v>57768000</v>
      </c>
      <c r="R365" s="155">
        <v>3304.2316775717218</v>
      </c>
      <c r="S365" s="122">
        <v>0.1371</v>
      </c>
      <c r="T365" s="122">
        <v>0.1711</v>
      </c>
      <c r="U365" s="122">
        <v>0.13900000000000001</v>
      </c>
      <c r="V365" s="122" t="s">
        <v>273</v>
      </c>
      <c r="W365" s="108">
        <v>1548000000</v>
      </c>
      <c r="X365" s="108">
        <v>370650000</v>
      </c>
      <c r="Y365" s="108">
        <v>421400000</v>
      </c>
      <c r="Z365" s="108">
        <f t="shared" si="43"/>
        <v>2122308</v>
      </c>
      <c r="AA365" s="108">
        <f t="shared" si="44"/>
        <v>1219928.1500000001</v>
      </c>
      <c r="AB365" s="108">
        <f t="shared" si="45"/>
        <v>4188689.5</v>
      </c>
      <c r="AC365" s="108">
        <f t="shared" si="46"/>
        <v>846453.34999999986</v>
      </c>
    </row>
    <row r="366" spans="1:29" x14ac:dyDescent="0.2">
      <c r="A366" s="124" t="s">
        <v>490</v>
      </c>
      <c r="B366" s="99">
        <f t="shared" si="40"/>
        <v>-6.1180185514110915E-3</v>
      </c>
      <c r="C366" t="s">
        <v>689</v>
      </c>
      <c r="D366" s="99">
        <f t="shared" si="41"/>
        <v>3.9922103213242452E-2</v>
      </c>
      <c r="E366" s="123">
        <v>45663000</v>
      </c>
      <c r="F366" s="219">
        <v>14075</v>
      </c>
      <c r="G366" s="93">
        <v>13300</v>
      </c>
      <c r="H366" s="93">
        <v>1027</v>
      </c>
      <c r="I366" s="93">
        <v>2395</v>
      </c>
      <c r="J366" s="93">
        <v>945</v>
      </c>
      <c r="K366" s="108">
        <f>(F366*138.66)*SUM(1,Macrogegevens!$C$4,0.5*Macrogegevens!$C$6,Macrogegevens!$C$8)</f>
        <v>1992038.4376500002</v>
      </c>
      <c r="L366" s="108">
        <f t="shared" si="47"/>
        <v>1686011.5</v>
      </c>
      <c r="M366" s="108">
        <v>3078958.2055687434</v>
      </c>
      <c r="N366" s="108">
        <v>1054951.600739409</v>
      </c>
      <c r="O366" s="108">
        <v>0</v>
      </c>
      <c r="P366" s="108">
        <f t="shared" si="42"/>
        <v>4133909.8063081522</v>
      </c>
      <c r="Q366" s="108">
        <v>44084000</v>
      </c>
      <c r="R366" s="155">
        <v>4320.1252045244364</v>
      </c>
      <c r="S366" s="122">
        <v>9.0300000000000005E-2</v>
      </c>
      <c r="T366" s="122">
        <v>9.0300000000000005E-2</v>
      </c>
      <c r="U366" s="122">
        <v>7.7499999999999999E-2</v>
      </c>
      <c r="V366" s="122" t="s">
        <v>490</v>
      </c>
      <c r="W366" s="108">
        <v>1548800000</v>
      </c>
      <c r="X366" s="108">
        <v>152950000</v>
      </c>
      <c r="Y366" s="108">
        <v>173950000</v>
      </c>
      <c r="Z366" s="108">
        <f t="shared" si="43"/>
        <v>1398566.4000000001</v>
      </c>
      <c r="AA366" s="108">
        <f t="shared" si="44"/>
        <v>272925.09999999998</v>
      </c>
      <c r="AB366" s="108">
        <f t="shared" si="45"/>
        <v>3357503</v>
      </c>
      <c r="AC366" s="108">
        <f t="shared" si="46"/>
        <v>1686011.5</v>
      </c>
    </row>
    <row r="367" spans="1:29" x14ac:dyDescent="0.2">
      <c r="A367" s="124" t="s">
        <v>295</v>
      </c>
      <c r="B367" s="99">
        <f t="shared" si="40"/>
        <v>3.8201860304963452E-3</v>
      </c>
      <c r="C367" t="s">
        <v>689</v>
      </c>
      <c r="D367" s="99">
        <f t="shared" si="41"/>
        <v>7.8001218769043271E-2</v>
      </c>
      <c r="E367" s="123">
        <v>42155000</v>
      </c>
      <c r="F367" s="219">
        <v>23879</v>
      </c>
      <c r="G367" s="93">
        <v>24700</v>
      </c>
      <c r="H367" s="93">
        <v>1641</v>
      </c>
      <c r="I367" s="93">
        <v>3605</v>
      </c>
      <c r="J367" s="93">
        <v>1385</v>
      </c>
      <c r="K367" s="108">
        <f>(F367*138.66)*SUM(1,Macrogegevens!$C$4,0.5*Macrogegevens!$C$6,Macrogegevens!$C$8)</f>
        <v>3379601.1262980006</v>
      </c>
      <c r="L367" s="108">
        <f t="shared" si="47"/>
        <v>1851071.6</v>
      </c>
      <c r="M367" s="108">
        <v>2802343.3755624304</v>
      </c>
      <c r="N367" s="108">
        <v>3017379.2752690767</v>
      </c>
      <c r="O367" s="108">
        <v>0</v>
      </c>
      <c r="P367" s="108">
        <f t="shared" si="42"/>
        <v>5819722.6508315075</v>
      </c>
      <c r="Q367" s="108">
        <v>45997000</v>
      </c>
      <c r="R367" s="155">
        <v>1146.3300208981959</v>
      </c>
      <c r="S367" s="122">
        <v>0.10290000000000001</v>
      </c>
      <c r="T367" s="122">
        <v>0.1</v>
      </c>
      <c r="U367" s="122">
        <v>0.08</v>
      </c>
      <c r="V367" s="122" t="s">
        <v>295</v>
      </c>
      <c r="W367" s="108">
        <v>1741600000</v>
      </c>
      <c r="X367" s="108">
        <v>275100000</v>
      </c>
      <c r="Y367" s="108">
        <v>311500000</v>
      </c>
      <c r="Z367" s="108">
        <f t="shared" si="43"/>
        <v>1792106.4</v>
      </c>
      <c r="AA367" s="108">
        <f t="shared" si="44"/>
        <v>524300</v>
      </c>
      <c r="AB367" s="108">
        <f t="shared" si="45"/>
        <v>4167478</v>
      </c>
      <c r="AC367" s="108">
        <f t="shared" si="46"/>
        <v>1851071.6</v>
      </c>
    </row>
    <row r="368" spans="1:29" x14ac:dyDescent="0.2">
      <c r="A368" s="124" t="s">
        <v>349</v>
      </c>
      <c r="B368" s="99">
        <f t="shared" si="40"/>
        <v>-1.3341702466448744E-3</v>
      </c>
      <c r="C368" t="s">
        <v>228</v>
      </c>
      <c r="D368" s="99">
        <f t="shared" si="41"/>
        <v>5.4029304029304032E-2</v>
      </c>
      <c r="E368" s="123">
        <v>74093000</v>
      </c>
      <c r="F368" s="219">
        <v>40891</v>
      </c>
      <c r="G368" s="93">
        <v>40400</v>
      </c>
      <c r="H368" s="93">
        <v>2730</v>
      </c>
      <c r="I368" s="93">
        <v>6220</v>
      </c>
      <c r="J368" s="93">
        <v>2435</v>
      </c>
      <c r="K368" s="108">
        <f>(F368*138.66)*SUM(1,Macrogegevens!$C$4,0.5*Macrogegevens!$C$6,Macrogegevens!$C$8)</f>
        <v>5787313.9434420001</v>
      </c>
      <c r="L368" s="108">
        <f t="shared" si="47"/>
        <v>2308881.7999999998</v>
      </c>
      <c r="M368" s="108">
        <v>9105945.7765371464</v>
      </c>
      <c r="N368" s="108">
        <v>4445746.6937830877</v>
      </c>
      <c r="O368" s="108">
        <v>0</v>
      </c>
      <c r="P368" s="108">
        <f t="shared" si="42"/>
        <v>13551692.470320234</v>
      </c>
      <c r="Q368" s="108">
        <v>69290000</v>
      </c>
      <c r="R368" s="155">
        <v>1523.0895685961941</v>
      </c>
      <c r="S368" s="122">
        <v>0.1109</v>
      </c>
      <c r="T368" s="122">
        <v>0.18049999999999999</v>
      </c>
      <c r="U368" s="122">
        <v>0.14460000000000001</v>
      </c>
      <c r="V368" s="122" t="s">
        <v>349</v>
      </c>
      <c r="W368" s="108">
        <v>3109600000</v>
      </c>
      <c r="X368" s="108">
        <v>558600000</v>
      </c>
      <c r="Y368" s="108">
        <v>580300000</v>
      </c>
      <c r="Z368" s="108">
        <f t="shared" si="43"/>
        <v>3448546.4</v>
      </c>
      <c r="AA368" s="108">
        <f t="shared" si="44"/>
        <v>1847386.8</v>
      </c>
      <c r="AB368" s="108">
        <f t="shared" si="45"/>
        <v>7604815</v>
      </c>
      <c r="AC368" s="108">
        <f t="shared" si="46"/>
        <v>2308881.7999999998</v>
      </c>
    </row>
    <row r="369" spans="1:29" x14ac:dyDescent="0.2">
      <c r="A369" s="124" t="s">
        <v>427</v>
      </c>
      <c r="B369" s="99">
        <f t="shared" si="40"/>
        <v>-4.185906011306262E-3</v>
      </c>
      <c r="C369" t="s">
        <v>689</v>
      </c>
      <c r="D369" s="99">
        <f t="shared" si="41"/>
        <v>3.1993082576740162E-2</v>
      </c>
      <c r="E369" s="123">
        <v>55614317</v>
      </c>
      <c r="F369" s="219">
        <v>23173</v>
      </c>
      <c r="G369" s="93">
        <v>22300</v>
      </c>
      <c r="H369" s="93">
        <v>2313</v>
      </c>
      <c r="I369" s="93">
        <v>5900</v>
      </c>
      <c r="J369" s="93">
        <v>2165</v>
      </c>
      <c r="K369" s="108">
        <f>(F369*138.66)*SUM(1,Macrogegevens!$C$4,0.5*Macrogegevens!$C$6,Macrogegevens!$C$8)</f>
        <v>3279680.7613260001</v>
      </c>
      <c r="L369" s="108">
        <f t="shared" si="47"/>
        <v>1706369.0000000005</v>
      </c>
      <c r="M369" s="108">
        <v>2719090.1585905836</v>
      </c>
      <c r="N369" s="108">
        <v>2404928.0432824208</v>
      </c>
      <c r="O369" s="108">
        <v>0</v>
      </c>
      <c r="P369" s="108">
        <f t="shared" si="42"/>
        <v>5124018.2018730044</v>
      </c>
      <c r="Q369" s="108">
        <v>56747521</v>
      </c>
      <c r="R369" s="155">
        <v>1075.4563721089307</v>
      </c>
      <c r="S369" s="122">
        <v>0.1239</v>
      </c>
      <c r="T369" s="122">
        <v>0.1668</v>
      </c>
      <c r="U369" s="122">
        <v>0.13320000000000001</v>
      </c>
      <c r="V369" s="122" t="s">
        <v>427</v>
      </c>
      <c r="W369" s="108">
        <v>2752400000</v>
      </c>
      <c r="X369" s="108">
        <v>310100000</v>
      </c>
      <c r="Y369" s="108">
        <v>331800000</v>
      </c>
      <c r="Z369" s="108">
        <f t="shared" si="43"/>
        <v>3410223.5999999996</v>
      </c>
      <c r="AA369" s="108">
        <f t="shared" si="44"/>
        <v>959204.4</v>
      </c>
      <c r="AB369" s="108">
        <f t="shared" si="45"/>
        <v>6075797</v>
      </c>
      <c r="AC369" s="108">
        <f t="shared" si="46"/>
        <v>1706369.0000000005</v>
      </c>
    </row>
    <row r="370" spans="1:29" x14ac:dyDescent="0.2">
      <c r="A370" s="124" t="s">
        <v>376</v>
      </c>
      <c r="B370" s="99">
        <f t="shared" si="40"/>
        <v>-7.3047172112914571E-3</v>
      </c>
      <c r="C370" t="s">
        <v>689</v>
      </c>
      <c r="D370" s="99">
        <f t="shared" si="41"/>
        <v>4.3465577596266042E-2</v>
      </c>
      <c r="E370" s="123">
        <v>42012000</v>
      </c>
      <c r="F370" s="219">
        <v>23227</v>
      </c>
      <c r="G370" s="93">
        <v>21700</v>
      </c>
      <c r="H370" s="93">
        <v>1714</v>
      </c>
      <c r="I370" s="93">
        <v>3805</v>
      </c>
      <c r="J370" s="93">
        <v>1565</v>
      </c>
      <c r="K370" s="108">
        <f>(F370*138.66)*SUM(1,Macrogegevens!$C$4,0.5*Macrogegevens!$C$6,Macrogegevens!$C$8)</f>
        <v>3287323.3954740004</v>
      </c>
      <c r="L370" s="108">
        <f t="shared" si="47"/>
        <v>1057022.0999999996</v>
      </c>
      <c r="M370" s="108">
        <v>5507920.5508620655</v>
      </c>
      <c r="N370" s="108">
        <v>2712672.5876058852</v>
      </c>
      <c r="O370" s="108">
        <v>0</v>
      </c>
      <c r="P370" s="108">
        <f t="shared" si="42"/>
        <v>8220593.1384679507</v>
      </c>
      <c r="Q370" s="108">
        <v>41841000</v>
      </c>
      <c r="R370" s="155">
        <v>822.29995249816466</v>
      </c>
      <c r="S370" s="122">
        <v>0.129</v>
      </c>
      <c r="T370" s="122">
        <v>0.1734</v>
      </c>
      <c r="U370" s="122">
        <v>0.13350000000000001</v>
      </c>
      <c r="V370" s="122" t="s">
        <v>376</v>
      </c>
      <c r="W370" s="108">
        <v>1886400000</v>
      </c>
      <c r="X370" s="108">
        <v>184100000</v>
      </c>
      <c r="Y370" s="108">
        <v>227500000</v>
      </c>
      <c r="Z370" s="108">
        <f t="shared" si="43"/>
        <v>2433456.0000000005</v>
      </c>
      <c r="AA370" s="108">
        <f t="shared" si="44"/>
        <v>622941.9</v>
      </c>
      <c r="AB370" s="108">
        <f t="shared" si="45"/>
        <v>4113420</v>
      </c>
      <c r="AC370" s="108">
        <f t="shared" si="46"/>
        <v>1057022.0999999996</v>
      </c>
    </row>
    <row r="371" spans="1:29" x14ac:dyDescent="0.2">
      <c r="A371" s="124" t="s">
        <v>250</v>
      </c>
      <c r="B371" s="99">
        <f t="shared" si="40"/>
        <v>6.6631173063581954E-3</v>
      </c>
      <c r="C371" t="s">
        <v>228</v>
      </c>
      <c r="D371" s="99">
        <f t="shared" si="41"/>
        <v>6.6210045662100453E-2</v>
      </c>
      <c r="E371" s="123">
        <v>28971000</v>
      </c>
      <c r="F371" s="219">
        <v>13774</v>
      </c>
      <c r="G371" s="93">
        <v>14600</v>
      </c>
      <c r="H371" s="93">
        <v>876</v>
      </c>
      <c r="I371" s="93">
        <v>1710</v>
      </c>
      <c r="J371" s="93">
        <v>760</v>
      </c>
      <c r="K371" s="108">
        <f>(F371*138.66)*SUM(1,Macrogegevens!$C$4,0.5*Macrogegevens!$C$6,Macrogegevens!$C$8)</f>
        <v>1949437.8287880002</v>
      </c>
      <c r="L371" s="108">
        <f t="shared" si="47"/>
        <v>0</v>
      </c>
      <c r="M371" s="108">
        <v>3415001.8292078767</v>
      </c>
      <c r="N371" s="108">
        <v>1855277.2030697318</v>
      </c>
      <c r="O371" s="108">
        <v>0</v>
      </c>
      <c r="P371" s="108">
        <f t="shared" si="42"/>
        <v>5270279.0322776083</v>
      </c>
      <c r="Q371" s="108">
        <v>28241286</v>
      </c>
      <c r="R371" s="155">
        <v>610.24657144887374</v>
      </c>
      <c r="S371" s="122">
        <v>0.17910000000000001</v>
      </c>
      <c r="T371" s="122">
        <v>0.21310000000000001</v>
      </c>
      <c r="U371" s="122">
        <v>0.1613</v>
      </c>
      <c r="V371" s="122" t="s">
        <v>250</v>
      </c>
      <c r="W371" s="108">
        <v>776800000</v>
      </c>
      <c r="X371" s="108">
        <v>105350000</v>
      </c>
      <c r="Y371" s="108">
        <v>123549999.99999999</v>
      </c>
      <c r="Z371" s="108">
        <f t="shared" si="43"/>
        <v>1391248.8</v>
      </c>
      <c r="AA371" s="108">
        <f t="shared" si="44"/>
        <v>423787</v>
      </c>
      <c r="AB371" s="108">
        <f t="shared" si="45"/>
        <v>1800203</v>
      </c>
      <c r="AC371" s="108">
        <f t="shared" si="46"/>
        <v>-14832.800000000047</v>
      </c>
    </row>
    <row r="372" spans="1:29" x14ac:dyDescent="0.2">
      <c r="A372" s="124" t="s">
        <v>350</v>
      </c>
      <c r="B372" s="99">
        <f t="shared" si="40"/>
        <v>-2.7006837901511235E-3</v>
      </c>
      <c r="C372" t="s">
        <v>228</v>
      </c>
      <c r="D372" s="99">
        <f t="shared" si="41"/>
        <v>6.0426540284360189E-2</v>
      </c>
      <c r="E372" s="123">
        <v>68813000</v>
      </c>
      <c r="F372" s="219">
        <v>29005</v>
      </c>
      <c r="G372" s="93">
        <v>28300</v>
      </c>
      <c r="H372" s="93">
        <v>2110</v>
      </c>
      <c r="I372" s="93">
        <v>4475</v>
      </c>
      <c r="J372" s="93">
        <v>1855</v>
      </c>
      <c r="K372" s="108">
        <f>(F372*138.66)*SUM(1,Macrogegevens!$C$4,0.5*Macrogegevens!$C$6,Macrogegevens!$C$8)</f>
        <v>4105085.2493100003</v>
      </c>
      <c r="L372" s="108">
        <f t="shared" si="47"/>
        <v>1249175.8500000001</v>
      </c>
      <c r="M372" s="108">
        <v>5486920.1202599555</v>
      </c>
      <c r="N372" s="108">
        <v>5508934.5352097806</v>
      </c>
      <c r="O372" s="108">
        <v>0</v>
      </c>
      <c r="P372" s="108">
        <f t="shared" si="42"/>
        <v>10995854.655469736</v>
      </c>
      <c r="Q372" s="108">
        <v>71196000</v>
      </c>
      <c r="R372" s="155">
        <v>2044.1292898695397</v>
      </c>
      <c r="S372" s="122">
        <v>0.10780000000000001</v>
      </c>
      <c r="T372" s="122">
        <v>0.20469999999999999</v>
      </c>
      <c r="U372" s="122">
        <v>0.16300000000000001</v>
      </c>
      <c r="V372" s="122" t="s">
        <v>350</v>
      </c>
      <c r="W372" s="108">
        <v>1816000000</v>
      </c>
      <c r="X372" s="108">
        <v>516949999.99999994</v>
      </c>
      <c r="Y372" s="108">
        <v>556500000</v>
      </c>
      <c r="Z372" s="108">
        <f t="shared" si="43"/>
        <v>1957648</v>
      </c>
      <c r="AA372" s="108">
        <f t="shared" si="44"/>
        <v>1965291.65</v>
      </c>
      <c r="AB372" s="108">
        <f t="shared" si="45"/>
        <v>5172115.5</v>
      </c>
      <c r="AC372" s="108">
        <f t="shared" si="46"/>
        <v>1249175.8500000001</v>
      </c>
    </row>
    <row r="373" spans="1:29" x14ac:dyDescent="0.2">
      <c r="A373" s="124" t="s">
        <v>571</v>
      </c>
      <c r="B373" s="99">
        <f t="shared" si="40"/>
        <v>-9.442826994469862E-3</v>
      </c>
      <c r="C373" t="s">
        <v>689</v>
      </c>
      <c r="D373" s="99">
        <f t="shared" si="41"/>
        <v>2.1825396825396824E-2</v>
      </c>
      <c r="E373" s="123">
        <v>42650213</v>
      </c>
      <c r="F373" s="219">
        <v>21639</v>
      </c>
      <c r="G373" s="93">
        <v>19800</v>
      </c>
      <c r="H373" s="93">
        <v>1260</v>
      </c>
      <c r="I373" s="93">
        <v>3005</v>
      </c>
      <c r="J373" s="93">
        <v>1205</v>
      </c>
      <c r="K373" s="108">
        <f>(F373*138.66)*SUM(1,Macrogegevens!$C$4,0.5*Macrogegevens!$C$6,Macrogegevens!$C$8)</f>
        <v>3062573.3394180001</v>
      </c>
      <c r="L373" s="108">
        <f t="shared" si="47"/>
        <v>1446523.4500000002</v>
      </c>
      <c r="M373" s="108">
        <v>4556561.8247372173</v>
      </c>
      <c r="N373" s="108">
        <v>2518740.2715714574</v>
      </c>
      <c r="O373" s="108">
        <v>0</v>
      </c>
      <c r="P373" s="108">
        <f t="shared" si="42"/>
        <v>7075302.0963086747</v>
      </c>
      <c r="Q373" s="108">
        <v>43780094</v>
      </c>
      <c r="R373" s="155">
        <v>29.674139126415529</v>
      </c>
      <c r="S373" s="122">
        <v>0.1101</v>
      </c>
      <c r="T373" s="122">
        <v>0.15640000000000001</v>
      </c>
      <c r="U373" s="122">
        <v>0.1303</v>
      </c>
      <c r="V373" s="122" t="s">
        <v>571</v>
      </c>
      <c r="W373" s="108">
        <v>1662400000</v>
      </c>
      <c r="X373" s="108">
        <v>402500000</v>
      </c>
      <c r="Y373" s="108">
        <v>431550000</v>
      </c>
      <c r="Z373" s="108">
        <f t="shared" si="43"/>
        <v>1830302.4</v>
      </c>
      <c r="AA373" s="108">
        <f t="shared" si="44"/>
        <v>1191819.6499999999</v>
      </c>
      <c r="AB373" s="108">
        <f t="shared" si="45"/>
        <v>4468645.5</v>
      </c>
      <c r="AC373" s="108">
        <f t="shared" si="46"/>
        <v>1446523.4500000002</v>
      </c>
    </row>
    <row r="374" spans="1:29" x14ac:dyDescent="0.2">
      <c r="A374" s="124" t="s">
        <v>377</v>
      </c>
      <c r="B374" s="99">
        <f t="shared" si="40"/>
        <v>1.2220620596901622E-3</v>
      </c>
      <c r="C374" t="s">
        <v>689</v>
      </c>
      <c r="D374" s="99">
        <f t="shared" si="41"/>
        <v>4.3586550435865505E-2</v>
      </c>
      <c r="E374" s="123">
        <v>101309592</v>
      </c>
      <c r="F374" s="219">
        <v>50643</v>
      </c>
      <c r="G374" s="93">
        <v>51200</v>
      </c>
      <c r="H374" s="93">
        <v>4015</v>
      </c>
      <c r="I374" s="93">
        <v>9060</v>
      </c>
      <c r="J374" s="93">
        <v>3665</v>
      </c>
      <c r="K374" s="108">
        <f>(F374*138.66)*SUM(1,Macrogegevens!$C$4,0.5*Macrogegevens!$C$6,Macrogegevens!$C$8)</f>
        <v>7167517.0584660014</v>
      </c>
      <c r="L374" s="108">
        <f t="shared" si="47"/>
        <v>2669375</v>
      </c>
      <c r="M374" s="108">
        <v>9311095.0956651289</v>
      </c>
      <c r="N374" s="108">
        <v>5166575.7379039051</v>
      </c>
      <c r="O374" s="108">
        <v>0</v>
      </c>
      <c r="P374" s="108">
        <f t="shared" si="42"/>
        <v>14477670.833569035</v>
      </c>
      <c r="Q374" s="108">
        <v>100889358</v>
      </c>
      <c r="R374" s="155">
        <v>1651.0925528033406</v>
      </c>
      <c r="S374" s="122">
        <v>0.121</v>
      </c>
      <c r="T374" s="122">
        <v>0.187</v>
      </c>
      <c r="U374" s="122">
        <v>0.14499999999999999</v>
      </c>
      <c r="V374" s="122" t="s">
        <v>377</v>
      </c>
      <c r="W374" s="108">
        <v>4175600000</v>
      </c>
      <c r="X374" s="108">
        <v>899850000</v>
      </c>
      <c r="Y374" s="108">
        <v>939750000</v>
      </c>
      <c r="Z374" s="108">
        <f t="shared" si="43"/>
        <v>5052476</v>
      </c>
      <c r="AA374" s="108">
        <f t="shared" si="44"/>
        <v>3045357</v>
      </c>
      <c r="AB374" s="108">
        <f t="shared" si="45"/>
        <v>10767208</v>
      </c>
      <c r="AC374" s="108">
        <f t="shared" si="46"/>
        <v>2669375</v>
      </c>
    </row>
    <row r="375" spans="1:29" x14ac:dyDescent="0.2">
      <c r="A375" s="124" t="s">
        <v>428</v>
      </c>
      <c r="B375" s="99">
        <f t="shared" si="40"/>
        <v>-4.5381721682299717E-3</v>
      </c>
      <c r="C375" t="s">
        <v>689</v>
      </c>
      <c r="D375" s="99">
        <f t="shared" si="41"/>
        <v>5.1463644948064213E-2</v>
      </c>
      <c r="E375" s="123">
        <v>27573405</v>
      </c>
      <c r="F375" s="219">
        <v>15743</v>
      </c>
      <c r="G375" s="93">
        <v>15100</v>
      </c>
      <c r="H375" s="93">
        <v>1059</v>
      </c>
      <c r="I375" s="93">
        <v>2440</v>
      </c>
      <c r="J375" s="93">
        <v>950</v>
      </c>
      <c r="K375" s="108">
        <f>(F375*138.66)*SUM(1,Macrogegevens!$C$4,0.5*Macrogegevens!$C$6,Macrogegevens!$C$8)</f>
        <v>2228110.9146660003</v>
      </c>
      <c r="L375" s="108">
        <f t="shared" si="47"/>
        <v>824997.9500000003</v>
      </c>
      <c r="M375" s="108">
        <v>3113311.8112168415</v>
      </c>
      <c r="N375" s="108">
        <v>1296349.9103968933</v>
      </c>
      <c r="O375" s="108">
        <v>0</v>
      </c>
      <c r="P375" s="108">
        <f t="shared" si="42"/>
        <v>4409661.721613735</v>
      </c>
      <c r="Q375" s="108">
        <v>25938399</v>
      </c>
      <c r="R375" s="155">
        <v>861.24070104652628</v>
      </c>
      <c r="S375" s="122">
        <v>0.11459999999999999</v>
      </c>
      <c r="T375" s="122">
        <v>0.1762</v>
      </c>
      <c r="U375" s="122">
        <v>0.13569999999999999</v>
      </c>
      <c r="V375" s="122" t="s">
        <v>428</v>
      </c>
      <c r="W375" s="108">
        <v>1162000000</v>
      </c>
      <c r="X375" s="108">
        <v>156450000</v>
      </c>
      <c r="Y375" s="108">
        <v>166950000</v>
      </c>
      <c r="Z375" s="108">
        <f t="shared" si="43"/>
        <v>1331651.9999999998</v>
      </c>
      <c r="AA375" s="108">
        <f t="shared" si="44"/>
        <v>502216.04999999993</v>
      </c>
      <c r="AB375" s="108">
        <f t="shared" si="45"/>
        <v>2658866</v>
      </c>
      <c r="AC375" s="108">
        <f t="shared" si="46"/>
        <v>824997.9500000003</v>
      </c>
    </row>
    <row r="376" spans="1:29" x14ac:dyDescent="0.2">
      <c r="A376" s="124" t="s">
        <v>378</v>
      </c>
      <c r="B376" s="99">
        <f t="shared" si="40"/>
        <v>-6.9611351457209494E-3</v>
      </c>
      <c r="C376" t="s">
        <v>689</v>
      </c>
      <c r="D376" s="99">
        <f t="shared" si="41"/>
        <v>6.43756050338819E-2</v>
      </c>
      <c r="E376" s="123">
        <v>19743057</v>
      </c>
      <c r="F376" s="219">
        <v>12482</v>
      </c>
      <c r="G376" s="93">
        <v>11700</v>
      </c>
      <c r="H376" s="93">
        <v>1033</v>
      </c>
      <c r="I376" s="93">
        <v>2010</v>
      </c>
      <c r="J376" s="93">
        <v>900</v>
      </c>
      <c r="K376" s="108">
        <f>(F376*138.66)*SUM(1,Macrogegevens!$C$4,0.5*Macrogegevens!$C$6,Macrogegevens!$C$8)</f>
        <v>1766580.730284</v>
      </c>
      <c r="L376" s="108">
        <f t="shared" si="47"/>
        <v>885130.25</v>
      </c>
      <c r="M376" s="108">
        <v>2904980.8470317358</v>
      </c>
      <c r="N376" s="108">
        <v>1175593.5506034028</v>
      </c>
      <c r="O376" s="108">
        <v>0</v>
      </c>
      <c r="P376" s="108">
        <f t="shared" si="42"/>
        <v>4080574.3976351386</v>
      </c>
      <c r="Q376" s="108">
        <v>21338935</v>
      </c>
      <c r="R376" s="155">
        <v>1786.9802603947921</v>
      </c>
      <c r="S376" s="122">
        <v>0.10979999999999999</v>
      </c>
      <c r="T376" s="122">
        <v>0.14419999999999999</v>
      </c>
      <c r="U376" s="122">
        <v>0.1157</v>
      </c>
      <c r="V376" s="122" t="s">
        <v>378</v>
      </c>
      <c r="W376" s="108">
        <v>1045600000</v>
      </c>
      <c r="X376" s="108">
        <v>156800000</v>
      </c>
      <c r="Y376" s="108">
        <v>169050000</v>
      </c>
      <c r="Z376" s="108">
        <f t="shared" si="43"/>
        <v>1148068.8</v>
      </c>
      <c r="AA376" s="108">
        <f t="shared" si="44"/>
        <v>421696.44999999995</v>
      </c>
      <c r="AB376" s="108">
        <f t="shared" si="45"/>
        <v>2454895.5</v>
      </c>
      <c r="AC376" s="108">
        <f t="shared" si="46"/>
        <v>885130.25</v>
      </c>
    </row>
    <row r="377" spans="1:29" x14ac:dyDescent="0.2">
      <c r="A377" s="124" t="s">
        <v>572</v>
      </c>
      <c r="B377" s="99">
        <f t="shared" ref="B377:B394" si="48">SUM(G377,-F377)/(F377*9)</f>
        <v>-3.0263726761781237E-3</v>
      </c>
      <c r="C377" t="s">
        <v>689</v>
      </c>
      <c r="D377" s="99">
        <f t="shared" ref="D377:D395" si="49">SUM(H377,-J377)/(H377*2)</f>
        <v>4.7279214986619092E-2</v>
      </c>
      <c r="E377" s="123">
        <v>25465000</v>
      </c>
      <c r="F377" s="219">
        <v>14392</v>
      </c>
      <c r="G377" s="93">
        <v>14000</v>
      </c>
      <c r="H377" s="93">
        <v>1121</v>
      </c>
      <c r="I377" s="93">
        <v>2620</v>
      </c>
      <c r="J377" s="93">
        <v>1015</v>
      </c>
      <c r="K377" s="108">
        <f>(F377*138.66)*SUM(1,Macrogegevens!$C$4,0.5*Macrogegevens!$C$6,Macrogegevens!$C$8)</f>
        <v>2036903.5307040003</v>
      </c>
      <c r="L377" s="108">
        <f t="shared" si="47"/>
        <v>914153</v>
      </c>
      <c r="M377" s="108">
        <v>2783592.1470323931</v>
      </c>
      <c r="N377" s="108">
        <v>1846650.2774753757</v>
      </c>
      <c r="O377" s="108">
        <v>0</v>
      </c>
      <c r="P377" s="108">
        <f t="shared" ref="P377:P395" si="50">SUM(M377,N377,O377)</f>
        <v>4630242.4245077688</v>
      </c>
      <c r="Q377" s="108">
        <v>26777000</v>
      </c>
      <c r="R377" s="155">
        <v>1644.2827442827443</v>
      </c>
      <c r="S377" s="122">
        <v>0.10050000000000001</v>
      </c>
      <c r="T377" s="122">
        <v>0.18459999999999999</v>
      </c>
      <c r="U377" s="122">
        <v>0.14760000000000001</v>
      </c>
      <c r="V377" s="122" t="s">
        <v>572</v>
      </c>
      <c r="W377" s="108">
        <v>1099600000</v>
      </c>
      <c r="X377" s="108">
        <v>177100000</v>
      </c>
      <c r="Y377" s="108">
        <v>193900000</v>
      </c>
      <c r="Z377" s="108">
        <f t="shared" ref="Z377:Z395" si="51">S377/100*W377</f>
        <v>1105098</v>
      </c>
      <c r="AA377" s="108">
        <f t="shared" ref="AA377:AA395" si="52">SUM(T377/100*X377,U377/100*Y377)</f>
        <v>613123</v>
      </c>
      <c r="AB377" s="108">
        <f t="shared" ref="AB377:AB395" si="53">(0.179/100)*SUM(W377,X377,Y377)</f>
        <v>2632374</v>
      </c>
      <c r="AC377" s="108">
        <f t="shared" ref="AC377:AC394" si="54">SUM(AB377,-Z377,-AA377)</f>
        <v>914153</v>
      </c>
    </row>
    <row r="378" spans="1:29" x14ac:dyDescent="0.2">
      <c r="A378" s="124" t="s">
        <v>429</v>
      </c>
      <c r="B378" s="99">
        <f t="shared" si="48"/>
        <v>7.5363518363207984E-3</v>
      </c>
      <c r="C378" t="s">
        <v>621</v>
      </c>
      <c r="D378" s="99">
        <f t="shared" si="49"/>
        <v>3.3295711060948079E-2</v>
      </c>
      <c r="E378" s="123">
        <v>402536000</v>
      </c>
      <c r="F378" s="219">
        <v>151429</v>
      </c>
      <c r="G378" s="93">
        <v>161700</v>
      </c>
      <c r="H378" s="93">
        <v>8860</v>
      </c>
      <c r="I378" s="93">
        <v>21425</v>
      </c>
      <c r="J378" s="93">
        <v>8270</v>
      </c>
      <c r="K378" s="108">
        <f>(F378*138.66)*SUM(1,Macrogegevens!$C$4,0.5*Macrogegevens!$C$6,Macrogegevens!$C$8)</f>
        <v>21431786.044398002</v>
      </c>
      <c r="L378" s="108">
        <f t="shared" ref="L378:L394" si="55">IF(AC378&gt;0,AC378,0)</f>
        <v>171011.60000000149</v>
      </c>
      <c r="M378" s="108">
        <v>33707291.753556103</v>
      </c>
      <c r="N378" s="108">
        <v>16184168.954350851</v>
      </c>
      <c r="O378" s="108">
        <v>8744189.0077214092</v>
      </c>
      <c r="P378" s="108">
        <f t="shared" si="50"/>
        <v>58635649.715628363</v>
      </c>
      <c r="Q378" s="108">
        <v>404558000</v>
      </c>
      <c r="R378" s="155">
        <v>2862.1363498747696</v>
      </c>
      <c r="S378" s="122">
        <v>0.14219999999999999</v>
      </c>
      <c r="T378" s="122">
        <v>0.28499999999999998</v>
      </c>
      <c r="U378" s="122">
        <v>0.22700000000000001</v>
      </c>
      <c r="V378" s="122" t="s">
        <v>429</v>
      </c>
      <c r="W378" s="108">
        <v>9439200000</v>
      </c>
      <c r="X378" s="108">
        <v>2125899999.9999998</v>
      </c>
      <c r="Y378" s="108">
        <v>2185750000</v>
      </c>
      <c r="Z378" s="108">
        <f t="shared" si="51"/>
        <v>13422542.399999999</v>
      </c>
      <c r="AA378" s="108">
        <f t="shared" si="52"/>
        <v>11020467.5</v>
      </c>
      <c r="AB378" s="108">
        <f t="shared" si="53"/>
        <v>24614021.5</v>
      </c>
      <c r="AC378" s="108">
        <f t="shared" si="54"/>
        <v>171011.60000000149</v>
      </c>
    </row>
    <row r="379" spans="1:29" x14ac:dyDescent="0.2">
      <c r="A379" s="124" t="s">
        <v>351</v>
      </c>
      <c r="B379" s="99">
        <f t="shared" si="48"/>
        <v>2.1929824561403508E-3</v>
      </c>
      <c r="C379" t="s">
        <v>689</v>
      </c>
      <c r="D379" s="99">
        <f t="shared" si="49"/>
        <v>4.394002498958767E-2</v>
      </c>
      <c r="E379" s="123">
        <v>61754336</v>
      </c>
      <c r="F379" s="219">
        <v>27360</v>
      </c>
      <c r="G379" s="93">
        <v>27900</v>
      </c>
      <c r="H379" s="93">
        <v>2401</v>
      </c>
      <c r="I379" s="93">
        <v>5585</v>
      </c>
      <c r="J379" s="93">
        <v>2190</v>
      </c>
      <c r="K379" s="108">
        <f>(F379*138.66)*SUM(1,Macrogegevens!$C$4,0.5*Macrogegevens!$C$6,Macrogegevens!$C$8)</f>
        <v>3872267.9683200009</v>
      </c>
      <c r="L379" s="108">
        <f t="shared" si="55"/>
        <v>950298.15000000014</v>
      </c>
      <c r="M379" s="108">
        <v>4321219.2041493412</v>
      </c>
      <c r="N379" s="108">
        <v>2816687.0189142935</v>
      </c>
      <c r="O379" s="108">
        <v>0</v>
      </c>
      <c r="P379" s="108">
        <f t="shared" si="50"/>
        <v>7137906.2230636347</v>
      </c>
      <c r="Q379" s="108">
        <v>63683742</v>
      </c>
      <c r="R379" s="155">
        <v>1990.8808839110036</v>
      </c>
      <c r="S379" s="122">
        <v>0.1144</v>
      </c>
      <c r="T379" s="122">
        <v>0.22889999999999999</v>
      </c>
      <c r="U379" s="122">
        <v>0.19409999999999999</v>
      </c>
      <c r="V379" s="122" t="s">
        <v>351</v>
      </c>
      <c r="W379" s="108">
        <v>1938400000</v>
      </c>
      <c r="X379" s="108">
        <v>456750000</v>
      </c>
      <c r="Y379" s="108">
        <v>489999999.99999994</v>
      </c>
      <c r="Z379" s="108">
        <f t="shared" si="51"/>
        <v>2217529.6</v>
      </c>
      <c r="AA379" s="108">
        <f t="shared" si="52"/>
        <v>1996590.7499999998</v>
      </c>
      <c r="AB379" s="108">
        <f t="shared" si="53"/>
        <v>5164418.5</v>
      </c>
      <c r="AC379" s="108">
        <f t="shared" si="54"/>
        <v>950298.15000000014</v>
      </c>
    </row>
    <row r="380" spans="1:29" x14ac:dyDescent="0.2">
      <c r="A380" s="124" t="s">
        <v>430</v>
      </c>
      <c r="B380" s="99">
        <f t="shared" si="48"/>
        <v>-5.9502416037698173E-3</v>
      </c>
      <c r="C380" t="s">
        <v>228</v>
      </c>
      <c r="D380" s="99">
        <f t="shared" si="49"/>
        <v>3.6679536679536683E-2</v>
      </c>
      <c r="E380" s="123">
        <v>41083000</v>
      </c>
      <c r="F380" s="219">
        <v>16694</v>
      </c>
      <c r="G380" s="93">
        <v>15800</v>
      </c>
      <c r="H380" s="93">
        <v>1295</v>
      </c>
      <c r="I380" s="93">
        <v>3350</v>
      </c>
      <c r="J380" s="93">
        <v>1200</v>
      </c>
      <c r="K380" s="108">
        <f>(F380*138.66)*SUM(1,Macrogegevens!$C$4,0.5*Macrogegevens!$C$6,Macrogegevens!$C$8)</f>
        <v>2362706.1938280002</v>
      </c>
      <c r="L380" s="108">
        <f t="shared" si="55"/>
        <v>1136189</v>
      </c>
      <c r="M380" s="108">
        <v>2697315.8721687486</v>
      </c>
      <c r="N380" s="108">
        <v>1836878.6571449621</v>
      </c>
      <c r="O380" s="108">
        <v>0</v>
      </c>
      <c r="P380" s="108">
        <f t="shared" si="50"/>
        <v>4534194.5293137105</v>
      </c>
      <c r="Q380" s="108">
        <v>40905000</v>
      </c>
      <c r="R380" s="155">
        <v>2096.3804713804716</v>
      </c>
      <c r="S380" s="122">
        <v>0.12239999999999999</v>
      </c>
      <c r="T380" s="122">
        <v>0.20269999999999999</v>
      </c>
      <c r="U380" s="122">
        <v>0.1164</v>
      </c>
      <c r="V380" s="122" t="s">
        <v>430</v>
      </c>
      <c r="W380" s="108">
        <v>1833200000</v>
      </c>
      <c r="X380" s="108">
        <v>242199999.99999997</v>
      </c>
      <c r="Y380" s="108">
        <v>249199999.99999997</v>
      </c>
      <c r="Z380" s="108">
        <f t="shared" si="51"/>
        <v>2243836.8000000003</v>
      </c>
      <c r="AA380" s="108">
        <f t="shared" si="52"/>
        <v>781008.19999999984</v>
      </c>
      <c r="AB380" s="108">
        <f t="shared" si="53"/>
        <v>4161034</v>
      </c>
      <c r="AC380" s="108">
        <f t="shared" si="54"/>
        <v>1136189</v>
      </c>
    </row>
    <row r="381" spans="1:29" x14ac:dyDescent="0.2">
      <c r="A381" s="124" t="s">
        <v>491</v>
      </c>
      <c r="B381" s="99">
        <f t="shared" si="48"/>
        <v>-8.2079454208091266E-3</v>
      </c>
      <c r="C381" t="s">
        <v>689</v>
      </c>
      <c r="D381" s="99">
        <f t="shared" si="49"/>
        <v>6.5567176186645218E-2</v>
      </c>
      <c r="E381" s="123">
        <v>22822000</v>
      </c>
      <c r="F381" s="219">
        <v>13713</v>
      </c>
      <c r="G381" s="93">
        <v>12700</v>
      </c>
      <c r="H381" s="93">
        <v>1243</v>
      </c>
      <c r="I381" s="93">
        <v>2595</v>
      </c>
      <c r="J381" s="93">
        <v>1080</v>
      </c>
      <c r="K381" s="108">
        <f>(F381*138.66)*SUM(1,Macrogegevens!$C$4,0.5*Macrogegevens!$C$6,Macrogegevens!$C$8)</f>
        <v>1940804.4828060002</v>
      </c>
      <c r="L381" s="108">
        <f t="shared" si="55"/>
        <v>784623.7</v>
      </c>
      <c r="M381" s="108">
        <v>1801091.3462631684</v>
      </c>
      <c r="N381" s="108">
        <v>1427213.1579039928</v>
      </c>
      <c r="O381" s="108">
        <v>0</v>
      </c>
      <c r="P381" s="108">
        <f t="shared" si="50"/>
        <v>3228304.504167161</v>
      </c>
      <c r="Q381" s="108">
        <v>23188577</v>
      </c>
      <c r="R381" s="155">
        <v>2083.37687541987</v>
      </c>
      <c r="S381" s="122">
        <v>0.1139</v>
      </c>
      <c r="T381" s="122">
        <v>0.17649999999999999</v>
      </c>
      <c r="U381" s="122">
        <v>0.13539999999999999</v>
      </c>
      <c r="V381" s="122" t="s">
        <v>491</v>
      </c>
      <c r="W381" s="108">
        <v>1047200000</v>
      </c>
      <c r="X381" s="108">
        <v>209300000</v>
      </c>
      <c r="Y381" s="108">
        <v>224000000</v>
      </c>
      <c r="Z381" s="108">
        <f t="shared" si="51"/>
        <v>1192760.8</v>
      </c>
      <c r="AA381" s="108">
        <f t="shared" si="52"/>
        <v>672710.5</v>
      </c>
      <c r="AB381" s="108">
        <f t="shared" si="53"/>
        <v>2650095</v>
      </c>
      <c r="AC381" s="108">
        <f t="shared" si="54"/>
        <v>784623.7</v>
      </c>
    </row>
    <row r="382" spans="1:29" x14ac:dyDescent="0.2">
      <c r="A382" s="124" t="s">
        <v>431</v>
      </c>
      <c r="B382" s="99">
        <f t="shared" si="48"/>
        <v>-7.2689511941848393E-3</v>
      </c>
      <c r="C382" t="s">
        <v>689</v>
      </c>
      <c r="D382" s="99">
        <f t="shared" si="49"/>
        <v>7.0661896243291597E-2</v>
      </c>
      <c r="E382" s="123">
        <v>12694781</v>
      </c>
      <c r="F382" s="219">
        <v>6313</v>
      </c>
      <c r="G382" s="93">
        <v>5900</v>
      </c>
      <c r="H382" s="93">
        <v>559</v>
      </c>
      <c r="I382" s="93">
        <v>1180</v>
      </c>
      <c r="J382" s="93">
        <v>480</v>
      </c>
      <c r="K382" s="108">
        <f>(F382*138.66)*SUM(1,Macrogegevens!$C$4,0.5*Macrogegevens!$C$6,Macrogegevens!$C$8)</f>
        <v>893480.54400600016</v>
      </c>
      <c r="L382" s="108">
        <f t="shared" si="55"/>
        <v>500988.95000000007</v>
      </c>
      <c r="M382" s="108">
        <v>1119878.5336625308</v>
      </c>
      <c r="N382" s="108">
        <v>458526.17177506548</v>
      </c>
      <c r="O382" s="108">
        <v>0</v>
      </c>
      <c r="P382" s="108">
        <f t="shared" si="50"/>
        <v>1578404.7054375964</v>
      </c>
      <c r="Q382" s="108">
        <v>10962000</v>
      </c>
      <c r="R382" s="155">
        <v>262.56540351989855</v>
      </c>
      <c r="S382" s="122">
        <v>0.1062</v>
      </c>
      <c r="T382" s="122">
        <v>0.11799999999999999</v>
      </c>
      <c r="U382" s="122">
        <v>9.3700000000000006E-2</v>
      </c>
      <c r="V382" s="122" t="s">
        <v>431</v>
      </c>
      <c r="W382" s="108">
        <v>553600000</v>
      </c>
      <c r="X382" s="108">
        <v>61249999.999999993</v>
      </c>
      <c r="Y382" s="108">
        <v>71050000</v>
      </c>
      <c r="Z382" s="108">
        <f t="shared" si="51"/>
        <v>587923.19999999995</v>
      </c>
      <c r="AA382" s="108">
        <f t="shared" si="52"/>
        <v>138848.84999999998</v>
      </c>
      <c r="AB382" s="108">
        <f t="shared" si="53"/>
        <v>1227761</v>
      </c>
      <c r="AC382" s="108">
        <f t="shared" si="54"/>
        <v>500988.95000000007</v>
      </c>
    </row>
    <row r="383" spans="1:29" x14ac:dyDescent="0.2">
      <c r="A383" s="124" t="s">
        <v>611</v>
      </c>
      <c r="B383" s="99">
        <f t="shared" si="48"/>
        <v>5.4425960156089543E-3</v>
      </c>
      <c r="C383" t="s">
        <v>689</v>
      </c>
      <c r="D383" s="99">
        <f t="shared" si="49"/>
        <v>3.1903765690376569E-2</v>
      </c>
      <c r="E383" s="123">
        <v>40083000</v>
      </c>
      <c r="F383" s="219">
        <v>21640</v>
      </c>
      <c r="G383" s="93">
        <v>22700</v>
      </c>
      <c r="H383" s="93">
        <v>1912</v>
      </c>
      <c r="I383" s="93">
        <v>4310</v>
      </c>
      <c r="J383" s="93">
        <v>1790</v>
      </c>
      <c r="K383" s="108">
        <f>(F383*138.66)*SUM(1,Macrogegevens!$C$4,0.5*Macrogegevens!$C$6,Macrogegevens!$C$8)</f>
        <v>3062714.8696800005</v>
      </c>
      <c r="L383" s="108">
        <f t="shared" si="55"/>
        <v>1604789.95</v>
      </c>
      <c r="M383" s="108">
        <v>5647157.718182601</v>
      </c>
      <c r="N383" s="108">
        <v>1612245.241415255</v>
      </c>
      <c r="O383" s="108">
        <v>0</v>
      </c>
      <c r="P383" s="108">
        <f t="shared" si="50"/>
        <v>7259402.9595978558</v>
      </c>
      <c r="Q383" s="108">
        <v>39166000</v>
      </c>
      <c r="R383" s="155">
        <v>-383.90892566727257</v>
      </c>
      <c r="S383" s="122">
        <v>0.1149</v>
      </c>
      <c r="T383" s="122">
        <v>0.1479</v>
      </c>
      <c r="U383" s="122">
        <v>0.1176</v>
      </c>
      <c r="V383" s="122" t="s">
        <v>611</v>
      </c>
      <c r="W383" s="108">
        <v>1510000000</v>
      </c>
      <c r="X383" s="108">
        <v>650650000</v>
      </c>
      <c r="Y383" s="108">
        <v>707700000</v>
      </c>
      <c r="Z383" s="108">
        <f t="shared" si="51"/>
        <v>1734990</v>
      </c>
      <c r="AA383" s="108">
        <f t="shared" si="52"/>
        <v>1794566.55</v>
      </c>
      <c r="AB383" s="108">
        <f t="shared" si="53"/>
        <v>5134346.5</v>
      </c>
      <c r="AC383" s="108">
        <f t="shared" si="54"/>
        <v>1604789.95</v>
      </c>
    </row>
    <row r="384" spans="1:29" x14ac:dyDescent="0.2">
      <c r="A384" s="124" t="s">
        <v>379</v>
      </c>
      <c r="B384" s="99">
        <f t="shared" si="48"/>
        <v>9.4287778624620039E-3</v>
      </c>
      <c r="C384" t="s">
        <v>621</v>
      </c>
      <c r="D384" s="99">
        <f t="shared" si="49"/>
        <v>2.0401623584704123E-2</v>
      </c>
      <c r="E384" s="123">
        <v>137418000</v>
      </c>
      <c r="F384" s="219">
        <v>61667</v>
      </c>
      <c r="G384" s="93">
        <v>66900</v>
      </c>
      <c r="H384" s="93">
        <v>4681</v>
      </c>
      <c r="I384" s="93">
        <v>10850</v>
      </c>
      <c r="J384" s="93">
        <v>4490</v>
      </c>
      <c r="K384" s="108">
        <f>(F384*138.66)*SUM(1,Macrogegevens!$C$4,0.5*Macrogegevens!$C$6,Macrogegevens!$C$8)</f>
        <v>8727746.6667540018</v>
      </c>
      <c r="L384" s="108">
        <f t="shared" si="55"/>
        <v>6739454.75</v>
      </c>
      <c r="M384" s="108">
        <v>17721873.580813475</v>
      </c>
      <c r="N384" s="108">
        <v>8301846.8623400405</v>
      </c>
      <c r="O384" s="108">
        <v>0</v>
      </c>
      <c r="P384" s="108">
        <f t="shared" si="50"/>
        <v>26023720.443153515</v>
      </c>
      <c r="Q384" s="108">
        <v>130482000</v>
      </c>
      <c r="R384" s="155">
        <v>511.51179378296786</v>
      </c>
      <c r="S384" s="122">
        <v>8.7999999999999995E-2</v>
      </c>
      <c r="T384" s="122">
        <v>0.15890000000000001</v>
      </c>
      <c r="U384" s="122">
        <v>0.12230000000000001</v>
      </c>
      <c r="V384" s="122" t="s">
        <v>379</v>
      </c>
      <c r="W384" s="108">
        <v>6284000000</v>
      </c>
      <c r="X384" s="108">
        <v>1311100000</v>
      </c>
      <c r="Y384" s="108">
        <v>1335950000</v>
      </c>
      <c r="Z384" s="108">
        <f t="shared" si="51"/>
        <v>5529919.9999999991</v>
      </c>
      <c r="AA384" s="108">
        <f t="shared" si="52"/>
        <v>3717204.75</v>
      </c>
      <c r="AB384" s="108">
        <f t="shared" si="53"/>
        <v>15986579.5</v>
      </c>
      <c r="AC384" s="108">
        <f t="shared" si="54"/>
        <v>6739454.75</v>
      </c>
    </row>
    <row r="385" spans="1:29" x14ac:dyDescent="0.2">
      <c r="A385" s="124" t="s">
        <v>352</v>
      </c>
      <c r="B385" s="99">
        <f t="shared" si="48"/>
        <v>-1.5945338141042198E-3</v>
      </c>
      <c r="C385" t="s">
        <v>228</v>
      </c>
      <c r="D385" s="99">
        <f t="shared" si="49"/>
        <v>3.0409041980624326E-2</v>
      </c>
      <c r="E385" s="123">
        <v>72457057</v>
      </c>
      <c r="F385" s="219">
        <v>32263</v>
      </c>
      <c r="G385" s="93">
        <v>31800</v>
      </c>
      <c r="H385" s="93">
        <v>1858</v>
      </c>
      <c r="I385" s="93">
        <v>4355</v>
      </c>
      <c r="J385" s="93">
        <v>1745</v>
      </c>
      <c r="K385" s="108">
        <f>(F385*138.66)*SUM(1,Macrogegevens!$C$4,0.5*Macrogegevens!$C$6,Macrogegevens!$C$8)</f>
        <v>4566190.842906001</v>
      </c>
      <c r="L385" s="108">
        <f t="shared" si="55"/>
        <v>1073719.5000000002</v>
      </c>
      <c r="M385" s="108">
        <v>7229214.5874144109</v>
      </c>
      <c r="N385" s="108">
        <v>4668929.802961438</v>
      </c>
      <c r="O385" s="108">
        <v>0</v>
      </c>
      <c r="P385" s="108">
        <f t="shared" si="50"/>
        <v>11898144.390375849</v>
      </c>
      <c r="Q385" s="108">
        <v>70891685</v>
      </c>
      <c r="R385" s="155">
        <v>2559.5010499263485</v>
      </c>
      <c r="S385" s="122">
        <v>0.13</v>
      </c>
      <c r="T385" s="122">
        <v>0.20649999999999999</v>
      </c>
      <c r="U385" s="122">
        <v>0.15</v>
      </c>
      <c r="V385" s="122" t="s">
        <v>352</v>
      </c>
      <c r="W385" s="108">
        <v>2167600000</v>
      </c>
      <c r="X385" s="108">
        <v>495599999.99999994</v>
      </c>
      <c r="Y385" s="108">
        <v>509949999.99999994</v>
      </c>
      <c r="Z385" s="108">
        <f t="shared" si="51"/>
        <v>2817880</v>
      </c>
      <c r="AA385" s="108">
        <f t="shared" si="52"/>
        <v>1788338.9999999998</v>
      </c>
      <c r="AB385" s="108">
        <f t="shared" si="53"/>
        <v>5679938.5</v>
      </c>
      <c r="AC385" s="108">
        <f t="shared" si="54"/>
        <v>1073719.5000000002</v>
      </c>
    </row>
    <row r="386" spans="1:29" x14ac:dyDescent="0.2">
      <c r="A386" s="124" t="s">
        <v>492</v>
      </c>
      <c r="B386" s="99">
        <f t="shared" si="48"/>
        <v>1.8598550818121223E-3</v>
      </c>
      <c r="C386" t="s">
        <v>621</v>
      </c>
      <c r="D386" s="99">
        <f t="shared" si="49"/>
        <v>3.0386740331491711E-2</v>
      </c>
      <c r="E386" s="123">
        <v>323087000</v>
      </c>
      <c r="F386" s="219">
        <v>124024</v>
      </c>
      <c r="G386" s="93">
        <v>126100</v>
      </c>
      <c r="H386" s="93">
        <v>6154</v>
      </c>
      <c r="I386" s="93">
        <v>13940</v>
      </c>
      <c r="J386" s="93">
        <v>5780</v>
      </c>
      <c r="K386" s="108">
        <f>(F386*138.66)*SUM(1,Macrogegevens!$C$4,0.5*Macrogegevens!$C$6,Macrogegevens!$C$8)</f>
        <v>17553149.214288004</v>
      </c>
      <c r="L386" s="108">
        <f t="shared" si="55"/>
        <v>0</v>
      </c>
      <c r="M386" s="108">
        <v>32938756.549309671</v>
      </c>
      <c r="N386" s="108">
        <v>13134492.056808986</v>
      </c>
      <c r="O386" s="108">
        <v>0</v>
      </c>
      <c r="P386" s="108">
        <f t="shared" si="50"/>
        <v>46073248.606118657</v>
      </c>
      <c r="Q386" s="108">
        <v>330870000</v>
      </c>
      <c r="R386" s="155">
        <v>-127.88401408682486</v>
      </c>
      <c r="S386" s="122">
        <v>0.1862</v>
      </c>
      <c r="T386" s="122">
        <v>0.34460000000000002</v>
      </c>
      <c r="U386" s="122">
        <v>0.26790000000000003</v>
      </c>
      <c r="V386" s="122" t="s">
        <v>492</v>
      </c>
      <c r="W386" s="108">
        <v>8137200000</v>
      </c>
      <c r="X386" s="108">
        <v>1537200000</v>
      </c>
      <c r="Y386" s="108">
        <v>1550150000</v>
      </c>
      <c r="Z386" s="108">
        <f t="shared" si="51"/>
        <v>15151466.4</v>
      </c>
      <c r="AA386" s="108">
        <f t="shared" si="52"/>
        <v>9450043.0500000007</v>
      </c>
      <c r="AB386" s="108">
        <f t="shared" si="53"/>
        <v>20091944.5</v>
      </c>
      <c r="AC386" s="108">
        <f t="shared" si="54"/>
        <v>-4509564.9500000011</v>
      </c>
    </row>
    <row r="387" spans="1:29" x14ac:dyDescent="0.2">
      <c r="A387" s="124" t="s">
        <v>493</v>
      </c>
      <c r="B387" s="99">
        <f t="shared" si="48"/>
        <v>-1.9329031904546639E-2</v>
      </c>
      <c r="C387" t="s">
        <v>689</v>
      </c>
      <c r="D387" s="99">
        <f t="shared" si="49"/>
        <v>1.7730496453900711E-2</v>
      </c>
      <c r="E387" s="123">
        <v>20472000</v>
      </c>
      <c r="F387" s="219">
        <v>8111</v>
      </c>
      <c r="G387" s="93">
        <v>6700</v>
      </c>
      <c r="H387" s="93">
        <v>705</v>
      </c>
      <c r="I387" s="93">
        <v>1590</v>
      </c>
      <c r="J387" s="93">
        <v>680</v>
      </c>
      <c r="K387" s="108">
        <f>(F387*138.66)*SUM(1,Macrogegevens!$C$4,0.5*Macrogegevens!$C$6,Macrogegevens!$C$8)</f>
        <v>1147951.9550820002</v>
      </c>
      <c r="L387" s="108">
        <f t="shared" si="55"/>
        <v>0</v>
      </c>
      <c r="M387" s="108">
        <v>1785094.7605838564</v>
      </c>
      <c r="N387" s="108">
        <v>755626.15356239537</v>
      </c>
      <c r="O387" s="108">
        <v>0</v>
      </c>
      <c r="P387" s="108">
        <f t="shared" si="50"/>
        <v>2540720.914146252</v>
      </c>
      <c r="Q387" s="108">
        <v>19116000</v>
      </c>
      <c r="R387" s="155">
        <v>1933.850702143385</v>
      </c>
      <c r="S387" s="122">
        <v>0.11849999999999999</v>
      </c>
      <c r="T387" s="122">
        <v>0.35798999999999997</v>
      </c>
      <c r="U387" s="122">
        <v>0.22867000000000001</v>
      </c>
      <c r="V387" s="122" t="s">
        <v>493</v>
      </c>
      <c r="W387" s="108">
        <v>690000000</v>
      </c>
      <c r="X387" s="108">
        <v>281050000</v>
      </c>
      <c r="Y387" s="108">
        <v>289100000</v>
      </c>
      <c r="Z387" s="108">
        <f t="shared" si="51"/>
        <v>817649.99999999988</v>
      </c>
      <c r="AA387" s="108">
        <f t="shared" si="52"/>
        <v>1667215.8649999998</v>
      </c>
      <c r="AB387" s="108">
        <f t="shared" si="53"/>
        <v>2255668.5</v>
      </c>
      <c r="AC387" s="108">
        <f t="shared" si="54"/>
        <v>-229197.36499999976</v>
      </c>
    </row>
    <row r="388" spans="1:29" x14ac:dyDescent="0.2">
      <c r="A388" s="124" t="s">
        <v>251</v>
      </c>
      <c r="B388" s="99">
        <f t="shared" si="48"/>
        <v>2.7881592216883193E-3</v>
      </c>
      <c r="C388" t="s">
        <v>689</v>
      </c>
      <c r="D388" s="99">
        <f t="shared" si="49"/>
        <v>5.894308943089431E-2</v>
      </c>
      <c r="E388" s="123">
        <v>35434078</v>
      </c>
      <c r="F388" s="219">
        <v>18730</v>
      </c>
      <c r="G388" s="93">
        <v>19200</v>
      </c>
      <c r="H388" s="93">
        <v>1230</v>
      </c>
      <c r="I388" s="93">
        <v>2385</v>
      </c>
      <c r="J388" s="93">
        <v>1085</v>
      </c>
      <c r="K388" s="108">
        <f>(F388*138.66)*SUM(1,Macrogegevens!$C$4,0.5*Macrogegevens!$C$6,Macrogegevens!$C$8)</f>
        <v>2650861.8072600001</v>
      </c>
      <c r="L388" s="108">
        <f t="shared" si="55"/>
        <v>0</v>
      </c>
      <c r="M388" s="108">
        <v>4712104.664489002</v>
      </c>
      <c r="N388" s="108">
        <v>2112579.2448366038</v>
      </c>
      <c r="O388" s="108">
        <v>0</v>
      </c>
      <c r="P388" s="108">
        <f t="shared" si="50"/>
        <v>6824683.9093256053</v>
      </c>
      <c r="Q388" s="108">
        <v>34390885</v>
      </c>
      <c r="R388" s="155">
        <v>1521.8655751831106</v>
      </c>
      <c r="S388" s="122">
        <v>0.1646</v>
      </c>
      <c r="T388" s="122">
        <v>0.23630000000000001</v>
      </c>
      <c r="U388" s="122">
        <v>0.18090000000000001</v>
      </c>
      <c r="V388" s="122" t="s">
        <v>251</v>
      </c>
      <c r="W388" s="108">
        <v>1064800000</v>
      </c>
      <c r="X388" s="108">
        <v>350000000</v>
      </c>
      <c r="Y388" s="108">
        <v>387100000</v>
      </c>
      <c r="Z388" s="108">
        <f t="shared" si="51"/>
        <v>1752660.7999999998</v>
      </c>
      <c r="AA388" s="108">
        <f t="shared" si="52"/>
        <v>1527313.9</v>
      </c>
      <c r="AB388" s="108">
        <f t="shared" si="53"/>
        <v>3225401</v>
      </c>
      <c r="AC388" s="108">
        <f t="shared" si="54"/>
        <v>-54573.699999999721</v>
      </c>
    </row>
    <row r="389" spans="1:29" x14ac:dyDescent="0.2">
      <c r="A389" s="124" t="s">
        <v>494</v>
      </c>
      <c r="B389" s="99">
        <f t="shared" si="48"/>
        <v>3.4736193576175911E-2</v>
      </c>
      <c r="C389" t="s">
        <v>689</v>
      </c>
      <c r="D389" s="99">
        <f t="shared" si="49"/>
        <v>3.1461434370771313E-2</v>
      </c>
      <c r="E389" s="123">
        <v>93366000</v>
      </c>
      <c r="F389" s="219">
        <v>40758</v>
      </c>
      <c r="G389" s="93">
        <v>53500</v>
      </c>
      <c r="H389" s="93">
        <v>2956</v>
      </c>
      <c r="I389" s="93">
        <v>7240</v>
      </c>
      <c r="J389" s="93">
        <v>2770</v>
      </c>
      <c r="K389" s="108">
        <f>(F389*138.66)*SUM(1,Macrogegevens!$C$4,0.5*Macrogegevens!$C$6,Macrogegevens!$C$8)</f>
        <v>5768490.4185960013</v>
      </c>
      <c r="L389" s="108">
        <f t="shared" si="55"/>
        <v>1984434.7000000004</v>
      </c>
      <c r="M389" s="108">
        <v>8290196.3844642639</v>
      </c>
      <c r="N389" s="108">
        <v>2740965.5504900455</v>
      </c>
      <c r="O389" s="108">
        <v>0</v>
      </c>
      <c r="P389" s="108">
        <f t="shared" si="50"/>
        <v>11031161.93495431</v>
      </c>
      <c r="Q389" s="108">
        <v>94109000</v>
      </c>
      <c r="R389" s="155">
        <v>1114.5032469955961</v>
      </c>
      <c r="S389" s="122">
        <v>0.1303</v>
      </c>
      <c r="T389" s="122">
        <v>0.1643</v>
      </c>
      <c r="U389" s="122">
        <v>0.12230000000000001</v>
      </c>
      <c r="V389" s="122" t="s">
        <v>494</v>
      </c>
      <c r="W389" s="108">
        <v>3130000000</v>
      </c>
      <c r="X389" s="108">
        <v>627200000</v>
      </c>
      <c r="Y389" s="108">
        <v>648900000</v>
      </c>
      <c r="Z389" s="108">
        <f t="shared" si="51"/>
        <v>4078389.9999999995</v>
      </c>
      <c r="AA389" s="108">
        <f t="shared" si="52"/>
        <v>1824094.3</v>
      </c>
      <c r="AB389" s="108">
        <f t="shared" si="53"/>
        <v>7886919</v>
      </c>
      <c r="AC389" s="108">
        <f t="shared" si="54"/>
        <v>1984434.7000000004</v>
      </c>
    </row>
    <row r="390" spans="1:29" x14ac:dyDescent="0.2">
      <c r="A390" s="124" t="s">
        <v>573</v>
      </c>
      <c r="B390" s="99">
        <f t="shared" si="48"/>
        <v>-3.9082218371244643E-3</v>
      </c>
      <c r="C390" t="s">
        <v>689</v>
      </c>
      <c r="D390" s="99">
        <f t="shared" si="49"/>
        <v>5.6313993174061432E-2</v>
      </c>
      <c r="E390" s="123">
        <v>42035000</v>
      </c>
      <c r="F390" s="219">
        <v>21351</v>
      </c>
      <c r="G390" s="93">
        <v>20600</v>
      </c>
      <c r="H390" s="93">
        <v>1758</v>
      </c>
      <c r="I390" s="93">
        <v>3520</v>
      </c>
      <c r="J390" s="93">
        <v>1560</v>
      </c>
      <c r="K390" s="108">
        <f>(F390*138.66)*SUM(1,Macrogegevens!$C$4,0.5*Macrogegevens!$C$6,Macrogegevens!$C$8)</f>
        <v>3021812.6239620005</v>
      </c>
      <c r="L390" s="108">
        <f t="shared" si="55"/>
        <v>1964632.8</v>
      </c>
      <c r="M390" s="108">
        <v>4326176.2738659279</v>
      </c>
      <c r="N390" s="108">
        <v>2901771.1472927625</v>
      </c>
      <c r="O390" s="108">
        <v>0</v>
      </c>
      <c r="P390" s="108">
        <f t="shared" si="50"/>
        <v>7227947.42115869</v>
      </c>
      <c r="Q390" s="108">
        <v>37746000</v>
      </c>
      <c r="R390" s="155">
        <v>416.59928656361473</v>
      </c>
      <c r="S390" s="122">
        <v>0.1007</v>
      </c>
      <c r="T390" s="122">
        <v>0.1338</v>
      </c>
      <c r="U390" s="122">
        <v>0.1071</v>
      </c>
      <c r="V390" s="122" t="s">
        <v>573</v>
      </c>
      <c r="W390" s="108">
        <v>1978000000</v>
      </c>
      <c r="X390" s="108">
        <v>314300000</v>
      </c>
      <c r="Y390" s="108">
        <v>380800000</v>
      </c>
      <c r="Z390" s="108">
        <f t="shared" si="51"/>
        <v>1991846.0000000002</v>
      </c>
      <c r="AA390" s="108">
        <f t="shared" si="52"/>
        <v>828370.2</v>
      </c>
      <c r="AB390" s="108">
        <f t="shared" si="53"/>
        <v>4784849</v>
      </c>
      <c r="AC390" s="108">
        <f t="shared" si="54"/>
        <v>1964632.8</v>
      </c>
    </row>
    <row r="391" spans="1:29" x14ac:dyDescent="0.2">
      <c r="A391" s="124" t="s">
        <v>353</v>
      </c>
      <c r="B391" s="99">
        <f t="shared" si="48"/>
        <v>5.1411991069924582E-3</v>
      </c>
      <c r="C391" t="s">
        <v>621</v>
      </c>
      <c r="D391" s="99">
        <f t="shared" si="49"/>
        <v>2.6018922852983989E-2</v>
      </c>
      <c r="E391" s="123">
        <v>130465000</v>
      </c>
      <c r="F391" s="219">
        <v>46833</v>
      </c>
      <c r="G391" s="93">
        <v>49000</v>
      </c>
      <c r="H391" s="93">
        <v>2748</v>
      </c>
      <c r="I391" s="93">
        <v>6115</v>
      </c>
      <c r="J391" s="93">
        <v>2605</v>
      </c>
      <c r="K391" s="108">
        <f>(F391*138.66)*SUM(1,Macrogegevens!$C$4,0.5*Macrogegevens!$C$6,Macrogegevens!$C$8)</f>
        <v>6628286.7602460012</v>
      </c>
      <c r="L391" s="108">
        <f t="shared" si="55"/>
        <v>2222082.6000000006</v>
      </c>
      <c r="M391" s="108">
        <v>15274972.237817885</v>
      </c>
      <c r="N391" s="108">
        <v>9259636.4557405356</v>
      </c>
      <c r="O391" s="108">
        <v>0</v>
      </c>
      <c r="P391" s="108">
        <f t="shared" si="50"/>
        <v>24534608.693558421</v>
      </c>
      <c r="Q391" s="108">
        <v>127625000</v>
      </c>
      <c r="R391" s="155">
        <v>3473.4371666311072</v>
      </c>
      <c r="S391" s="122">
        <v>0.1183</v>
      </c>
      <c r="T391" s="122">
        <v>0.18479999999999999</v>
      </c>
      <c r="U391" s="122">
        <v>0.1381</v>
      </c>
      <c r="V391" s="122" t="s">
        <v>353</v>
      </c>
      <c r="W391" s="108">
        <v>3187200000</v>
      </c>
      <c r="X391" s="108">
        <v>779800000</v>
      </c>
      <c r="Y391" s="108">
        <v>813400000</v>
      </c>
      <c r="Z391" s="108">
        <f t="shared" si="51"/>
        <v>3770457.6</v>
      </c>
      <c r="AA391" s="108">
        <f t="shared" si="52"/>
        <v>2564375.7999999998</v>
      </c>
      <c r="AB391" s="108">
        <f t="shared" si="53"/>
        <v>8556916</v>
      </c>
      <c r="AC391" s="108">
        <f t="shared" si="54"/>
        <v>2222082.6000000006</v>
      </c>
    </row>
    <row r="392" spans="1:29" x14ac:dyDescent="0.2">
      <c r="A392" s="124" t="s">
        <v>296</v>
      </c>
      <c r="B392" s="99">
        <f t="shared" si="48"/>
        <v>-3.830034690890132E-3</v>
      </c>
      <c r="C392" t="s">
        <v>689</v>
      </c>
      <c r="D392" s="99">
        <f t="shared" si="49"/>
        <v>3.4090909090909088E-2</v>
      </c>
      <c r="E392" s="123">
        <v>47488000</v>
      </c>
      <c r="F392" s="219">
        <v>22164</v>
      </c>
      <c r="G392" s="93">
        <v>21400</v>
      </c>
      <c r="H392" s="93">
        <v>1540</v>
      </c>
      <c r="I392" s="93">
        <v>3720</v>
      </c>
      <c r="J392" s="93">
        <v>1435</v>
      </c>
      <c r="K392" s="108">
        <f>(F392*138.66)*SUM(1,Macrogegevens!$C$4,0.5*Macrogegevens!$C$6,Macrogegevens!$C$8)</f>
        <v>3136876.7269680002</v>
      </c>
      <c r="L392" s="108">
        <f t="shared" si="55"/>
        <v>1084384.8999999999</v>
      </c>
      <c r="M392" s="108">
        <v>5421550.0898294635</v>
      </c>
      <c r="N392" s="108">
        <v>3195584.2461927608</v>
      </c>
      <c r="O392" s="108">
        <v>0</v>
      </c>
      <c r="P392" s="108">
        <f t="shared" si="50"/>
        <v>8617134.3360222243</v>
      </c>
      <c r="Q392" s="108">
        <v>49043000</v>
      </c>
      <c r="R392" s="155">
        <v>2790.8365625712331</v>
      </c>
      <c r="S392" s="122">
        <v>0.10589999999999999</v>
      </c>
      <c r="T392" s="122">
        <v>0.19120000000000001</v>
      </c>
      <c r="U392" s="122">
        <v>0.1444</v>
      </c>
      <c r="V392" s="122" t="s">
        <v>296</v>
      </c>
      <c r="W392" s="108">
        <v>1340800000</v>
      </c>
      <c r="X392" s="108">
        <v>424900000</v>
      </c>
      <c r="Y392" s="108">
        <v>451150000</v>
      </c>
      <c r="Z392" s="108">
        <f t="shared" si="51"/>
        <v>1419907.2</v>
      </c>
      <c r="AA392" s="108">
        <f t="shared" si="52"/>
        <v>1463869.4</v>
      </c>
      <c r="AB392" s="108">
        <f t="shared" si="53"/>
        <v>3968161.5</v>
      </c>
      <c r="AC392" s="108">
        <f t="shared" si="54"/>
        <v>1084384.8999999999</v>
      </c>
    </row>
    <row r="393" spans="1:29" x14ac:dyDescent="0.2">
      <c r="A393" s="124" t="s">
        <v>495</v>
      </c>
      <c r="B393" s="99">
        <f t="shared" si="48"/>
        <v>1.0063100383796162E-3</v>
      </c>
      <c r="C393" t="s">
        <v>228</v>
      </c>
      <c r="D393" s="99">
        <f t="shared" si="49"/>
        <v>2.6025835866261397E-2</v>
      </c>
      <c r="E393" s="123">
        <v>115393000</v>
      </c>
      <c r="F393" s="219">
        <v>44497</v>
      </c>
      <c r="G393" s="93">
        <v>44900</v>
      </c>
      <c r="H393" s="93">
        <v>2632</v>
      </c>
      <c r="I393" s="93">
        <v>6610</v>
      </c>
      <c r="J393" s="93">
        <v>2495</v>
      </c>
      <c r="K393" s="108">
        <f>(F393*138.66)*SUM(1,Macrogegevens!$C$4,0.5*Macrogegevens!$C$6,Macrogegevens!$C$8)</f>
        <v>6297672.0682140002</v>
      </c>
      <c r="L393" s="108">
        <f t="shared" si="55"/>
        <v>621980.14999999991</v>
      </c>
      <c r="M393" s="108">
        <v>9643707.7065879945</v>
      </c>
      <c r="N393" s="108">
        <v>6090865.1469298825</v>
      </c>
      <c r="O393" s="108">
        <v>0</v>
      </c>
      <c r="P393" s="108">
        <f t="shared" si="50"/>
        <v>15734572.853517877</v>
      </c>
      <c r="Q393" s="108">
        <v>110929000</v>
      </c>
      <c r="R393" s="155">
        <v>2464.822988919917</v>
      </c>
      <c r="S393" s="122">
        <v>0.1326</v>
      </c>
      <c r="T393" s="122">
        <v>0.26100000000000001</v>
      </c>
      <c r="U393" s="122">
        <v>0.20930000000000001</v>
      </c>
      <c r="V393" s="122" t="s">
        <v>495</v>
      </c>
      <c r="W393" s="108">
        <v>2776400000</v>
      </c>
      <c r="X393" s="108">
        <v>591500000</v>
      </c>
      <c r="Y393" s="108">
        <v>598150000</v>
      </c>
      <c r="Z393" s="108">
        <f t="shared" si="51"/>
        <v>3681506.4</v>
      </c>
      <c r="AA393" s="108">
        <f t="shared" si="52"/>
        <v>2795742.95</v>
      </c>
      <c r="AB393" s="108">
        <f t="shared" si="53"/>
        <v>7099229.5</v>
      </c>
      <c r="AC393" s="108">
        <f t="shared" si="54"/>
        <v>621980.14999999991</v>
      </c>
    </row>
    <row r="394" spans="1:29" x14ac:dyDescent="0.2">
      <c r="A394" s="124" t="s">
        <v>297</v>
      </c>
      <c r="B394" s="99">
        <f t="shared" si="48"/>
        <v>1.3898080741230973E-2</v>
      </c>
      <c r="C394" t="s">
        <v>621</v>
      </c>
      <c r="D394" s="99">
        <f t="shared" si="49"/>
        <v>5.0507823222618722E-2</v>
      </c>
      <c r="E394" s="123">
        <v>505315000</v>
      </c>
      <c r="F394" s="219">
        <v>123902</v>
      </c>
      <c r="G394" s="93">
        <v>139400</v>
      </c>
      <c r="H394" s="93">
        <v>7286</v>
      </c>
      <c r="I394" s="93">
        <v>15975</v>
      </c>
      <c r="J394" s="93">
        <v>6550</v>
      </c>
      <c r="K394" s="108">
        <f>(F394*138.66)*SUM(1,Macrogegevens!$C$4,0.5*Macrogegevens!$C$6,Macrogegevens!$C$8)</f>
        <v>17535882.522324003</v>
      </c>
      <c r="L394" s="108">
        <f t="shared" si="55"/>
        <v>581000.09999999963</v>
      </c>
      <c r="M394" s="108">
        <v>36503125.472752355</v>
      </c>
      <c r="N394" s="108">
        <v>16920577.927832358</v>
      </c>
      <c r="O394" s="108">
        <v>49083232.861237615</v>
      </c>
      <c r="P394" s="108">
        <f t="shared" si="50"/>
        <v>102506936.26182233</v>
      </c>
      <c r="Q394" s="108">
        <v>503934000</v>
      </c>
      <c r="R394" s="155">
        <v>3606.7209947072165</v>
      </c>
      <c r="S394" s="122">
        <v>0.12280000000000001</v>
      </c>
      <c r="T394" s="122">
        <v>0.27789999999999998</v>
      </c>
      <c r="U394" s="122">
        <v>0.2248</v>
      </c>
      <c r="V394" s="122" t="s">
        <v>297</v>
      </c>
      <c r="W394" s="108">
        <v>8495600000</v>
      </c>
      <c r="X394" s="108">
        <v>2877700000</v>
      </c>
      <c r="Y394" s="108">
        <v>2942100000</v>
      </c>
      <c r="Z394" s="108">
        <f t="shared" si="51"/>
        <v>10432596.800000001</v>
      </c>
      <c r="AA394" s="108">
        <f t="shared" si="52"/>
        <v>14610969.1</v>
      </c>
      <c r="AB394" s="108">
        <f t="shared" si="53"/>
        <v>25624566</v>
      </c>
      <c r="AC394" s="108">
        <f t="shared" si="54"/>
        <v>581000.09999999963</v>
      </c>
    </row>
    <row r="395" spans="1:29" x14ac:dyDescent="0.2">
      <c r="A395" s="124" t="s">
        <v>628</v>
      </c>
      <c r="B395" s="99">
        <f>SUM(G395,-F395)/(F395*9)</f>
        <v>3.2103352766894543E-3</v>
      </c>
      <c r="C395" t="s">
        <v>228</v>
      </c>
      <c r="D395" s="99">
        <f t="shared" si="49"/>
        <v>3.7990941154565999E-2</v>
      </c>
      <c r="E395" s="123">
        <f>SUM(E2:E394)</f>
        <v>50728487735</v>
      </c>
      <c r="F395" s="106">
        <f>SUM(F2:F394)</f>
        <v>16902146</v>
      </c>
      <c r="G395" s="93">
        <f>SUM(G2:G394)</f>
        <v>17390500</v>
      </c>
      <c r="H395" s="93">
        <f t="shared" ref="H395:O395" si="56">SUM(H2:H394)</f>
        <v>1133257</v>
      </c>
      <c r="I395" s="93">
        <f t="shared" si="56"/>
        <v>2626424</v>
      </c>
      <c r="J395" s="108">
        <f t="shared" si="56"/>
        <v>1047150</v>
      </c>
      <c r="K395" s="108">
        <f t="shared" si="56"/>
        <v>2500736768.6322117</v>
      </c>
      <c r="L395" s="108">
        <f t="shared" si="56"/>
        <v>717683865.76445985</v>
      </c>
      <c r="M395" s="108">
        <f t="shared" si="56"/>
        <v>3864133122.339839</v>
      </c>
      <c r="N395" s="108">
        <f t="shared" si="56"/>
        <v>2147989279.3110318</v>
      </c>
      <c r="O395" s="108">
        <f t="shared" si="56"/>
        <v>1390326133.2088041</v>
      </c>
      <c r="P395" s="108">
        <f t="shared" si="50"/>
        <v>7402448534.8596754</v>
      </c>
      <c r="Q395" s="108">
        <f>SUM(Q2:Q394)</f>
        <v>50500792109</v>
      </c>
      <c r="R395" s="155">
        <v>1937.3737983162248</v>
      </c>
      <c r="S395" s="122">
        <v>0.17899999999999999</v>
      </c>
      <c r="T395" s="122">
        <v>0.17899999999999999</v>
      </c>
      <c r="U395" s="122">
        <v>0.17899999999999999</v>
      </c>
      <c r="V395" s="122" t="s">
        <v>628</v>
      </c>
      <c r="W395" s="108">
        <f>SUM(W2:W394)</f>
        <v>1248992000000</v>
      </c>
      <c r="X395" s="108">
        <f>SUM(X2:X394)</f>
        <v>296628500000</v>
      </c>
      <c r="Y395" s="108">
        <f>SUM(Y2:Y394)</f>
        <v>309410850000</v>
      </c>
      <c r="Z395" s="108">
        <f t="shared" si="51"/>
        <v>2235695680</v>
      </c>
      <c r="AA395" s="108">
        <f t="shared" si="52"/>
        <v>1084810436.5</v>
      </c>
      <c r="AB395" s="108">
        <f t="shared" si="53"/>
        <v>3320506116.5</v>
      </c>
      <c r="AC395" s="108">
        <f>SUM(AC2:AC394)</f>
        <v>584573304.92245996</v>
      </c>
    </row>
    <row r="396" spans="1:29" ht="15" x14ac:dyDescent="0.25">
      <c r="A396" s="105"/>
      <c r="F396" s="105"/>
    </row>
    <row r="397" spans="1:29" x14ac:dyDescent="0.2">
      <c r="A397" s="124" t="s">
        <v>381</v>
      </c>
      <c r="B397" s="99">
        <f>SUM(G397,-F397)/(F397*9)</f>
        <v>2.0307209234239751E-3</v>
      </c>
      <c r="C397" t="s">
        <v>621</v>
      </c>
      <c r="D397" s="99">
        <f>SUM(H397,-J397)/(H397*2)</f>
        <v>9.9287311347121293E-2</v>
      </c>
      <c r="E397" s="123">
        <v>286527000</v>
      </c>
      <c r="F397" s="219">
        <v>95259</v>
      </c>
      <c r="G397" s="93">
        <v>97000</v>
      </c>
      <c r="H397" s="93">
        <v>7156</v>
      </c>
      <c r="I397" s="93">
        <v>13860</v>
      </c>
      <c r="J397" s="93">
        <v>5735</v>
      </c>
      <c r="K397" s="108">
        <f>(F397*138.66)*SUM(1,Macrogegevens!$C$4,0.5*Macrogegevens!$C$6,Macrogegevens!$C$8)</f>
        <v>13482031.227858001</v>
      </c>
      <c r="L397" s="108">
        <f>IF(AC397&gt;0,AC397,0)</f>
        <v>4509169.0000000019</v>
      </c>
      <c r="M397" s="108">
        <v>22410427.792710006</v>
      </c>
      <c r="N397" s="108">
        <v>12929494.688908817</v>
      </c>
      <c r="O397" s="108">
        <v>18911866.790958051</v>
      </c>
      <c r="P397" s="108">
        <f>SUM(M397,N397,O397)</f>
        <v>54251789.272576869</v>
      </c>
      <c r="Q397" s="108">
        <v>291629000</v>
      </c>
      <c r="R397" s="155">
        <v>2198.6448045514112</v>
      </c>
      <c r="S397" s="122">
        <v>0.10199999999999999</v>
      </c>
      <c r="T397" s="122">
        <v>0.215</v>
      </c>
      <c r="U397" s="122">
        <v>0.16600000000000001</v>
      </c>
      <c r="V397" s="122" t="s">
        <v>381</v>
      </c>
      <c r="W397" s="108">
        <v>6476800000</v>
      </c>
      <c r="X397" s="108">
        <v>2093349999.9999998</v>
      </c>
      <c r="Y397" s="108">
        <v>2120299999.9999998</v>
      </c>
      <c r="Z397" s="108">
        <f>S397/100*W397</f>
        <v>6606335.9999999991</v>
      </c>
      <c r="AA397" s="108">
        <f>SUM(T397/100*X397,U397/100*Y397)</f>
        <v>8020400.4999999981</v>
      </c>
      <c r="AB397" s="108">
        <f>(0.179/100)*SUM(W397,X397,Y397)</f>
        <v>19135905.5</v>
      </c>
      <c r="AC397" s="108">
        <f>SUM(AB397,-Z397,-AA397)</f>
        <v>4509169.0000000019</v>
      </c>
    </row>
    <row r="398" spans="1:29" x14ac:dyDescent="0.2">
      <c r="A398" s="124" t="s">
        <v>395</v>
      </c>
      <c r="B398" s="99">
        <f>SUM(G398,-F398)/(F398*9)</f>
        <v>-5.5218015959564489E-3</v>
      </c>
      <c r="C398" t="s">
        <v>689</v>
      </c>
      <c r="D398" s="99">
        <f>SUM(H398,-J398)/(H398*2)</f>
        <v>2.2200772200772202E-2</v>
      </c>
      <c r="E398" s="123">
        <v>9727224</v>
      </c>
      <c r="F398" s="219">
        <v>6419</v>
      </c>
      <c r="G398" s="93">
        <v>6100</v>
      </c>
      <c r="H398" s="93">
        <v>518</v>
      </c>
      <c r="I398" s="93">
        <v>1195</v>
      </c>
      <c r="J398" s="93">
        <v>495</v>
      </c>
      <c r="K398" s="108">
        <f>(F398*138.66)*SUM(1,Macrogegevens!$C$4,0.5*Macrogegevens!$C$6,Macrogegevens!$C$8)</f>
        <v>908482.75177800003</v>
      </c>
      <c r="L398" s="108">
        <f>IF(AC398&gt;0,AC398,0)</f>
        <v>429553.35</v>
      </c>
      <c r="M398" s="108">
        <v>1047045.3616508192</v>
      </c>
      <c r="N398" s="108">
        <v>446531.11831106327</v>
      </c>
      <c r="O398" s="108">
        <v>0</v>
      </c>
      <c r="P398" s="108">
        <f>SUM(M398,N398,O398)</f>
        <v>1493576.4799618823</v>
      </c>
      <c r="Q398" s="108">
        <v>9835433</v>
      </c>
      <c r="R398" s="155">
        <v>208.50670365233472</v>
      </c>
      <c r="S398" s="122">
        <v>0.10589999999999999</v>
      </c>
      <c r="T398" s="122">
        <v>0.1711</v>
      </c>
      <c r="U398" s="122">
        <v>0.13930000000000001</v>
      </c>
      <c r="V398" s="122" t="s">
        <v>395</v>
      </c>
      <c r="W398" s="108">
        <v>536000000</v>
      </c>
      <c r="X398" s="108">
        <v>73150000</v>
      </c>
      <c r="Y398" s="108">
        <v>80500000</v>
      </c>
      <c r="Z398" s="108">
        <f>S398/100*W398</f>
        <v>567624</v>
      </c>
      <c r="AA398" s="108">
        <f>SUM(T398/100*X398,U398/100*Y398)</f>
        <v>237296.15000000002</v>
      </c>
      <c r="AB398" s="108">
        <f>(0.179/100)*SUM(W398,X398,Y398)</f>
        <v>1234473.5</v>
      </c>
      <c r="AC398" s="108">
        <f>SUM(AB398,-Z398,-AA398)</f>
        <v>429553.35</v>
      </c>
    </row>
    <row r="399" spans="1:29" x14ac:dyDescent="0.2">
      <c r="A399" s="124" t="s">
        <v>419</v>
      </c>
      <c r="B399" s="99">
        <f>SUM(G399,-F399)/(F399*9)</f>
        <v>-7.1737181054862638E-3</v>
      </c>
      <c r="C399" t="s">
        <v>689</v>
      </c>
      <c r="D399" s="99">
        <f>SUM(H399,-J399)/(H399*2)</f>
        <v>0.10456942003514938</v>
      </c>
      <c r="E399" s="123">
        <v>9760688</v>
      </c>
      <c r="F399" s="219">
        <v>5452</v>
      </c>
      <c r="G399" s="93">
        <v>5100</v>
      </c>
      <c r="H399" s="93">
        <v>569</v>
      </c>
      <c r="I399" s="93">
        <v>1040</v>
      </c>
      <c r="J399" s="93">
        <v>450</v>
      </c>
      <c r="K399" s="108">
        <f>(F399*138.66)*SUM(1,Macrogegevens!$C$4,0.5*Macrogegevens!$C$6,Macrogegevens!$C$8)</f>
        <v>771622.9884240001</v>
      </c>
      <c r="L399" s="108">
        <f>IF(AC399&gt;0,AC399,0)</f>
        <v>176947.45000000013</v>
      </c>
      <c r="M399" s="108">
        <v>715148.17385080841</v>
      </c>
      <c r="N399" s="108">
        <v>513218.80327038956</v>
      </c>
      <c r="O399" s="108">
        <v>0</v>
      </c>
      <c r="P399" s="108">
        <f>SUM(M399,N399,O399)</f>
        <v>1228366.9771211981</v>
      </c>
      <c r="Q399" s="108">
        <v>10156862</v>
      </c>
      <c r="R399" s="155">
        <v>6.9029850746268657</v>
      </c>
      <c r="S399" s="122">
        <v>0.14249999999999999</v>
      </c>
      <c r="T399" s="122">
        <v>0.17599999999999999</v>
      </c>
      <c r="U399" s="122">
        <v>0.14410000000000001</v>
      </c>
      <c r="V399" s="122" t="s">
        <v>419</v>
      </c>
      <c r="W399" s="108">
        <v>398000000</v>
      </c>
      <c r="X399" s="108">
        <v>66499999.999999993</v>
      </c>
      <c r="Y399" s="108">
        <v>85050000</v>
      </c>
      <c r="Z399" s="108">
        <f>S399/100*W399</f>
        <v>567149.99999999988</v>
      </c>
      <c r="AA399" s="108">
        <f>SUM(T399/100*X399,U399/100*Y399)</f>
        <v>239597.05</v>
      </c>
      <c r="AB399" s="108">
        <f>(0.179/100)*SUM(W399,X399,Y399)</f>
        <v>983694.5</v>
      </c>
      <c r="AC399" s="108">
        <f>SUM(AB399,-Z399,-AA399)</f>
        <v>176947.45000000013</v>
      </c>
    </row>
    <row r="400" spans="1:29" x14ac:dyDescent="0.2">
      <c r="A400" s="124" t="s">
        <v>381</v>
      </c>
      <c r="B400" s="99">
        <f>SUM(G400,-F400)/(F400*9)</f>
        <v>1.1097628011657696E-3</v>
      </c>
      <c r="C400" t="s">
        <v>621</v>
      </c>
      <c r="D400" s="99">
        <f>SUM(H400,-J400)/(H400*2)</f>
        <v>9.4807715637510614E-2</v>
      </c>
      <c r="E400" s="93">
        <f t="shared" ref="E400:J400" si="57">SUM(E397:E399)</f>
        <v>306014912</v>
      </c>
      <c r="F400" s="93">
        <f t="shared" si="57"/>
        <v>107130</v>
      </c>
      <c r="G400" s="93">
        <f t="shared" si="57"/>
        <v>108200</v>
      </c>
      <c r="H400" s="93">
        <f t="shared" si="57"/>
        <v>8243</v>
      </c>
      <c r="I400" s="93">
        <f t="shared" si="57"/>
        <v>16095</v>
      </c>
      <c r="J400" s="108">
        <f t="shared" si="57"/>
        <v>6680</v>
      </c>
      <c r="K400" s="108">
        <f>(F400*138.66)*SUM(1,Macrogegevens!$C$4,0.5*Macrogegevens!$C$6,Macrogegevens!$C$8)</f>
        <v>15162136.968060002</v>
      </c>
      <c r="L400" s="108">
        <f>IF(AC400&gt;0,AC400,0)</f>
        <v>5199596.5</v>
      </c>
      <c r="M400" s="108">
        <f>SUM(M397:M399)</f>
        <v>24172621.328211635</v>
      </c>
      <c r="N400" s="108">
        <f>SUM(N397:N399)</f>
        <v>13889244.61049027</v>
      </c>
      <c r="O400" s="108">
        <f>SUM(O397:O399)</f>
        <v>18911866.790958051</v>
      </c>
      <c r="P400" s="108">
        <f>SUM(M400,N400,O400)</f>
        <v>56973732.72965996</v>
      </c>
      <c r="Q400" s="108">
        <f>SUM(Q397:Q399)</f>
        <v>311621295</v>
      </c>
      <c r="R400" s="155">
        <v>1968</v>
      </c>
      <c r="S400" s="122">
        <v>0.10199999999999999</v>
      </c>
      <c r="T400" s="122">
        <v>0.215</v>
      </c>
      <c r="U400" s="122">
        <v>0.16600000000000001</v>
      </c>
      <c r="V400" s="122" t="s">
        <v>381</v>
      </c>
      <c r="W400" s="108">
        <f>SUM(W397:W399)</f>
        <v>7410800000</v>
      </c>
      <c r="X400" s="108">
        <f>SUM(X397:X399)</f>
        <v>2233000000</v>
      </c>
      <c r="Y400" s="108">
        <f>SUM(Y397:Y399)</f>
        <v>2285850000</v>
      </c>
      <c r="Z400" s="108">
        <f>S400/100*W400</f>
        <v>7559015.9999999991</v>
      </c>
      <c r="AA400" s="108">
        <f>SUM(T400/100*X400,U400/100*Y400)</f>
        <v>8595461</v>
      </c>
      <c r="AB400" s="108">
        <f>(0.179/100)*SUM(W400,X400,Y400)</f>
        <v>21354073.5</v>
      </c>
      <c r="AC400" s="108">
        <f>SUM(AB400,-Z400,-AA400)</f>
        <v>5199596.5</v>
      </c>
    </row>
    <row r="401" spans="1:29" ht="15" x14ac:dyDescent="0.25">
      <c r="A401" s="103"/>
      <c r="F401" s="105"/>
      <c r="Q401" s="108"/>
      <c r="R401" s="155"/>
      <c r="V401" s="122"/>
      <c r="AC401" s="108"/>
    </row>
    <row r="402" spans="1:29" x14ac:dyDescent="0.2">
      <c r="A402" s="124" t="s">
        <v>317</v>
      </c>
      <c r="B402" s="99">
        <f>SUM(G402,-F402)/(F402*9)</f>
        <v>-5.5144902029801712E-3</v>
      </c>
      <c r="C402" t="s">
        <v>228</v>
      </c>
      <c r="D402" s="99">
        <f>SUM(H402,-J402)/(H402*2)</f>
        <v>5.1166965888689409E-2</v>
      </c>
      <c r="E402" s="123">
        <v>44357000</v>
      </c>
      <c r="F402" s="219">
        <v>18940</v>
      </c>
      <c r="G402" s="93">
        <v>18000</v>
      </c>
      <c r="H402" s="93">
        <v>1114</v>
      </c>
      <c r="I402" s="93">
        <v>2445</v>
      </c>
      <c r="J402" s="93">
        <v>1000</v>
      </c>
      <c r="K402" s="108">
        <f>(F402*138.66)*SUM(1,Macrogegevens!$C$4,0.5*Macrogegevens!$C$6,Macrogegevens!$C$8)</f>
        <v>2680583.1622800003</v>
      </c>
      <c r="L402" s="108">
        <f>IF(AC402&gt;0,AC402,0)</f>
        <v>1443670.4999999998</v>
      </c>
      <c r="M402" s="108">
        <v>3606162.7217397648</v>
      </c>
      <c r="N402" s="108">
        <v>3039519.7142783832</v>
      </c>
      <c r="O402" s="108">
        <v>0</v>
      </c>
      <c r="P402" s="108">
        <f>SUM(M402,N402,O402)</f>
        <v>6645682.4360181484</v>
      </c>
      <c r="Q402" s="108">
        <v>45662000</v>
      </c>
      <c r="R402" s="155">
        <v>702.3199281297891</v>
      </c>
      <c r="S402" s="122">
        <v>9.0200000000000002E-2</v>
      </c>
      <c r="T402" s="122">
        <v>0.17460000000000001</v>
      </c>
      <c r="U402" s="122">
        <v>0.1416</v>
      </c>
      <c r="V402" s="122" t="s">
        <v>317</v>
      </c>
      <c r="W402" s="108">
        <v>1523600000</v>
      </c>
      <c r="X402" s="108">
        <v>202300000</v>
      </c>
      <c r="Y402" s="108">
        <v>218750000</v>
      </c>
      <c r="Z402" s="108">
        <f>S402/100*W402</f>
        <v>1374287.2</v>
      </c>
      <c r="AA402" s="108">
        <f>SUM(T402/100*X402,U402/100*Y402)</f>
        <v>662965.80000000005</v>
      </c>
      <c r="AB402" s="108">
        <f>(0.179/100)*SUM(W402,X402,Y402)</f>
        <v>3480923.5</v>
      </c>
      <c r="AC402" s="108">
        <f>SUM(AB402,-Z402,-AA402)</f>
        <v>1443670.4999999998</v>
      </c>
    </row>
    <row r="403" spans="1:29" x14ac:dyDescent="0.2">
      <c r="A403" s="124" t="s">
        <v>326</v>
      </c>
      <c r="B403" s="99">
        <f>SUM(G403,-F403)/(F403*9)</f>
        <v>-7.1452875127594418E-3</v>
      </c>
      <c r="C403" t="s">
        <v>689</v>
      </c>
      <c r="D403" s="99">
        <f>SUM(H403,-J403)/(H403*2)</f>
        <v>3.7037037037037035E-2</v>
      </c>
      <c r="E403" s="123">
        <v>12149000</v>
      </c>
      <c r="F403" s="219">
        <v>5878</v>
      </c>
      <c r="G403" s="93">
        <v>5500</v>
      </c>
      <c r="H403" s="93">
        <v>270</v>
      </c>
      <c r="I403" s="93">
        <v>675</v>
      </c>
      <c r="J403" s="93">
        <v>250</v>
      </c>
      <c r="K403" s="108">
        <f>(F403*138.66)*SUM(1,Macrogegevens!$C$4,0.5*Macrogegevens!$C$6,Macrogegevens!$C$8)</f>
        <v>831914.88003600016</v>
      </c>
      <c r="L403" s="108">
        <f>IF(AC403&gt;0,AC403,0)</f>
        <v>0</v>
      </c>
      <c r="M403" s="108">
        <v>1010422.2945862772</v>
      </c>
      <c r="N403" s="108">
        <v>614607.23897549487</v>
      </c>
      <c r="O403" s="108">
        <v>0</v>
      </c>
      <c r="P403" s="108">
        <f>SUM(M403,N403,O403)</f>
        <v>1625029.5335617722</v>
      </c>
      <c r="Q403" s="108">
        <v>12158000</v>
      </c>
      <c r="R403" s="155">
        <v>711.7010483598242</v>
      </c>
      <c r="S403" s="122">
        <v>0.17680000000000001</v>
      </c>
      <c r="T403" s="122">
        <v>0.30220000000000002</v>
      </c>
      <c r="U403" s="122">
        <v>0.24199999999999999</v>
      </c>
      <c r="V403" s="122" t="s">
        <v>326</v>
      </c>
      <c r="W403" s="108">
        <v>362800000</v>
      </c>
      <c r="X403" s="108">
        <v>27650000</v>
      </c>
      <c r="Y403" s="108">
        <v>31149999.999999996</v>
      </c>
      <c r="Z403" s="108">
        <f>S403/100*W403</f>
        <v>641430.4</v>
      </c>
      <c r="AA403" s="108">
        <f>SUM(T403/100*X403,U403/100*Y403)</f>
        <v>158941.29999999999</v>
      </c>
      <c r="AB403" s="108">
        <f>(0.179/100)*SUM(W403,X403,Y403)</f>
        <v>754664</v>
      </c>
      <c r="AC403" s="108">
        <f>SUM(AB403,-Z403,-AA403)</f>
        <v>-45707.700000000012</v>
      </c>
    </row>
    <row r="404" spans="1:29" x14ac:dyDescent="0.2">
      <c r="A404" s="124" t="s">
        <v>344</v>
      </c>
      <c r="B404" s="99">
        <f>SUM(G404,-F404)/(F404*9)</f>
        <v>-6.1335220570889358E-3</v>
      </c>
      <c r="C404" t="s">
        <v>689</v>
      </c>
      <c r="D404" s="99">
        <f>SUM(H404,-J404)/(H404*2)</f>
        <v>7.5688073394495417E-2</v>
      </c>
      <c r="E404" s="123">
        <v>19828000</v>
      </c>
      <c r="F404" s="219">
        <v>9420</v>
      </c>
      <c r="G404" s="93">
        <v>8900</v>
      </c>
      <c r="H404" s="93">
        <v>654</v>
      </c>
      <c r="I404" s="93">
        <v>1315</v>
      </c>
      <c r="J404" s="93">
        <v>555</v>
      </c>
      <c r="K404" s="108">
        <f>(F404*138.66)*SUM(1,Macrogegevens!$C$4,0.5*Macrogegevens!$C$6,Macrogegevens!$C$8)</f>
        <v>1333215.0680400003</v>
      </c>
      <c r="L404" s="108">
        <f>IF(AC404&gt;0,AC404,0)</f>
        <v>330649.40000000026</v>
      </c>
      <c r="M404" s="108">
        <v>2082403.4920740689</v>
      </c>
      <c r="N404" s="108">
        <v>1403661.6726780515</v>
      </c>
      <c r="O404" s="108">
        <v>0</v>
      </c>
      <c r="P404" s="108">
        <f>SUM(M404,N404,O404)</f>
        <v>3486065.1647521202</v>
      </c>
      <c r="Q404" s="108">
        <v>19524000</v>
      </c>
      <c r="R404" s="155">
        <v>-155.36269152469731</v>
      </c>
      <c r="S404" s="122">
        <v>0.12</v>
      </c>
      <c r="T404" s="122">
        <v>0.26179999999999998</v>
      </c>
      <c r="U404" s="122">
        <v>0.2117</v>
      </c>
      <c r="V404" s="122" t="s">
        <v>344</v>
      </c>
      <c r="W404" s="108">
        <v>812800000</v>
      </c>
      <c r="X404" s="108">
        <v>125649999.99999999</v>
      </c>
      <c r="Y404" s="108">
        <v>137200000</v>
      </c>
      <c r="Z404" s="108">
        <f>S404/100*W404</f>
        <v>975359.99999999988</v>
      </c>
      <c r="AA404" s="108">
        <f>SUM(T404/100*X404,U404/100*Y404)</f>
        <v>619404.09999999986</v>
      </c>
      <c r="AB404" s="108">
        <f>(0.179/100)*SUM(W404,X404,Y404)</f>
        <v>1925413.5</v>
      </c>
      <c r="AC404" s="108">
        <f>SUM(AB404,-Z404,-AA404)</f>
        <v>330649.40000000026</v>
      </c>
    </row>
    <row r="405" spans="1:29" x14ac:dyDescent="0.2">
      <c r="A405" s="125" t="s">
        <v>317</v>
      </c>
      <c r="B405" s="99">
        <f>SUM(G405,-F405)/(F405*9)</f>
        <v>-5.9647824704194821E-3</v>
      </c>
      <c r="C405" t="s">
        <v>228</v>
      </c>
      <c r="D405" s="99">
        <f>SUM(H405,-J405)/(H405*2)</f>
        <v>5.7163886162904812E-2</v>
      </c>
      <c r="E405" s="93">
        <f t="shared" ref="E405:J405" si="58">SUM(E402:E404)</f>
        <v>76334000</v>
      </c>
      <c r="F405" s="93">
        <f t="shared" si="58"/>
        <v>34238</v>
      </c>
      <c r="G405" s="93">
        <f t="shared" si="58"/>
        <v>32400</v>
      </c>
      <c r="H405" s="93">
        <f t="shared" si="58"/>
        <v>2038</v>
      </c>
      <c r="I405" s="93">
        <f t="shared" si="58"/>
        <v>4435</v>
      </c>
      <c r="J405" s="108">
        <f t="shared" si="58"/>
        <v>1805</v>
      </c>
      <c r="K405" s="108">
        <f>(F405*138.66)*SUM(1,Macrogegevens!$C$4,0.5*Macrogegevens!$C$6,Macrogegevens!$C$8)</f>
        <v>4845713.1103560012</v>
      </c>
      <c r="L405" s="108">
        <f>IF(AC405&gt;0,AC405,0)</f>
        <v>1258761.0000000005</v>
      </c>
      <c r="M405" s="108">
        <f>SUM(M402:M404)</f>
        <v>6698988.5084001105</v>
      </c>
      <c r="N405" s="108">
        <f>SUM(N402:N404)</f>
        <v>5057788.6259319298</v>
      </c>
      <c r="O405" s="108">
        <f>SUM(O402:O404)</f>
        <v>0</v>
      </c>
      <c r="P405" s="108">
        <f>SUM(M405,N405,O405)</f>
        <v>11756777.13433204</v>
      </c>
      <c r="Q405" s="108">
        <f>SUM(Q402:Q404)</f>
        <v>77344000</v>
      </c>
      <c r="R405" s="155">
        <v>468</v>
      </c>
      <c r="S405" s="122">
        <v>0.12</v>
      </c>
      <c r="T405" s="122">
        <v>0.25</v>
      </c>
      <c r="U405" s="122">
        <v>0.2</v>
      </c>
      <c r="V405" s="122" t="s">
        <v>317</v>
      </c>
      <c r="W405" s="108">
        <f>SUM(W402:W404)</f>
        <v>2699200000</v>
      </c>
      <c r="X405" s="108">
        <f>SUM(X402:X404)</f>
        <v>355600000</v>
      </c>
      <c r="Y405" s="108">
        <f>SUM(Y402:Y404)</f>
        <v>387100000</v>
      </c>
      <c r="Z405" s="108">
        <f>S405/100*W405</f>
        <v>3239039.9999999995</v>
      </c>
      <c r="AA405" s="108">
        <f>SUM(T405/100*X405,U405/100*Y405)</f>
        <v>1663200</v>
      </c>
      <c r="AB405" s="108">
        <f>(0.179/100)*SUM(W405,X405,Y405)</f>
        <v>6161001</v>
      </c>
      <c r="AC405" s="108">
        <f>SUM(AB405,-Z405,-AA405)</f>
        <v>1258761.0000000005</v>
      </c>
    </row>
    <row r="406" spans="1:29" ht="15" x14ac:dyDescent="0.25">
      <c r="A406" s="103"/>
      <c r="F406" s="105"/>
      <c r="Q406" s="108"/>
      <c r="R406" s="155"/>
      <c r="V406" s="122"/>
      <c r="AC406" s="108"/>
    </row>
    <row r="407" spans="1:29" x14ac:dyDescent="0.2">
      <c r="A407" s="124" t="s">
        <v>437</v>
      </c>
      <c r="B407" s="99">
        <f>SUM(G407,-F407)/(F407*9)</f>
        <v>-6.1185330002534307E-3</v>
      </c>
      <c r="C407" t="s">
        <v>689</v>
      </c>
      <c r="D407" s="99">
        <f>SUM(H407,-J407)/(H407*2)</f>
        <v>4.1256157635467978E-2</v>
      </c>
      <c r="E407" s="123">
        <v>22592900</v>
      </c>
      <c r="F407" s="219">
        <v>12276</v>
      </c>
      <c r="G407" s="93">
        <v>11600</v>
      </c>
      <c r="H407" s="93">
        <v>812</v>
      </c>
      <c r="I407" s="93">
        <v>1815</v>
      </c>
      <c r="J407" s="93">
        <v>745</v>
      </c>
      <c r="K407" s="108">
        <f>(F407*138.66)*SUM(1,Macrogegevens!$C$4,0.5*Macrogegevens!$C$6,Macrogegevens!$C$8)</f>
        <v>1737425.4963120001</v>
      </c>
      <c r="L407" s="108">
        <f>IF(AC407&gt;0,AC407,0)</f>
        <v>500337.00000000012</v>
      </c>
      <c r="M407" s="108">
        <v>1575376.9004159728</v>
      </c>
      <c r="N407" s="108">
        <v>930915.07276156626</v>
      </c>
      <c r="O407" s="108">
        <v>0</v>
      </c>
      <c r="P407" s="108">
        <f>SUM(M407,N407,O407)</f>
        <v>2506291.9731775392</v>
      </c>
      <c r="Q407" s="108">
        <v>23082400</v>
      </c>
      <c r="R407" s="155">
        <v>4384.584504215175</v>
      </c>
      <c r="S407" s="122">
        <v>0.1234</v>
      </c>
      <c r="T407" s="122">
        <v>0.2185</v>
      </c>
      <c r="U407" s="122">
        <v>0.1736</v>
      </c>
      <c r="V407" s="122" t="s">
        <v>437</v>
      </c>
      <c r="W407" s="108">
        <v>975600000</v>
      </c>
      <c r="X407" s="108">
        <v>125999999.99999999</v>
      </c>
      <c r="Y407" s="108">
        <v>142100000</v>
      </c>
      <c r="Z407" s="108">
        <f>S407/100*W407</f>
        <v>1203890.3999999999</v>
      </c>
      <c r="AA407" s="108">
        <f>SUM(T407/100*X407,U407/100*Y407)</f>
        <v>521995.6</v>
      </c>
      <c r="AB407" s="108">
        <f>(0.179/100)*SUM(W407,X407,Y407)</f>
        <v>2226223</v>
      </c>
      <c r="AC407" s="108">
        <f>SUM(AB407,-Z407,-AA407)</f>
        <v>500337.00000000012</v>
      </c>
    </row>
    <row r="408" spans="1:29" x14ac:dyDescent="0.2">
      <c r="A408" s="124" t="s">
        <v>481</v>
      </c>
      <c r="B408" s="99">
        <f>SUM(G408,-F408)/(F408*9)</f>
        <v>-1.5735521029072521E-3</v>
      </c>
      <c r="C408" t="s">
        <v>621</v>
      </c>
      <c r="D408" s="99">
        <f>SUM(H408,-J408)/(H408*2)</f>
        <v>3.4593437945791727E-2</v>
      </c>
      <c r="E408" s="123">
        <v>232583000</v>
      </c>
      <c r="F408" s="219">
        <v>72730</v>
      </c>
      <c r="G408" s="93">
        <v>71700</v>
      </c>
      <c r="H408" s="93">
        <v>2804</v>
      </c>
      <c r="I408" s="93">
        <v>6605</v>
      </c>
      <c r="J408" s="93">
        <v>2610</v>
      </c>
      <c r="K408" s="108">
        <f>(F408*138.66)*SUM(1,Macrogegevens!$C$4,0.5*Macrogegevens!$C$6,Macrogegevens!$C$8)</f>
        <v>10293495.955260001</v>
      </c>
      <c r="L408" s="108">
        <f>IF(AC408&gt;0,AC408,0)</f>
        <v>836155.78199999966</v>
      </c>
      <c r="M408" s="108">
        <v>20721529.628329422</v>
      </c>
      <c r="N408" s="108">
        <v>8720255.8990355227</v>
      </c>
      <c r="O408" s="108">
        <v>15351744.647530181</v>
      </c>
      <c r="P408" s="108">
        <f>SUM(M408,N408,O408)</f>
        <v>44793530.17489513</v>
      </c>
      <c r="Q408" s="108">
        <v>211320000</v>
      </c>
      <c r="R408" s="155">
        <v>5391.1396779321303</v>
      </c>
      <c r="S408" s="122">
        <v>0.140795</v>
      </c>
      <c r="T408" s="122">
        <v>0.24937400000000001</v>
      </c>
      <c r="U408" s="122">
        <v>0.20441799999999999</v>
      </c>
      <c r="V408" s="122" t="s">
        <v>481</v>
      </c>
      <c r="W408" s="108">
        <v>4138400000</v>
      </c>
      <c r="X408" s="108">
        <v>775600000</v>
      </c>
      <c r="Y408" s="108">
        <v>783300000</v>
      </c>
      <c r="Z408" s="108">
        <f>S408/100*W408</f>
        <v>5826660.2800000003</v>
      </c>
      <c r="AA408" s="108">
        <f>SUM(T408/100*X408,U408/100*Y408)</f>
        <v>3535350.9380000001</v>
      </c>
      <c r="AB408" s="108">
        <f>(0.179/100)*SUM(W408,X408,Y408)</f>
        <v>10198167</v>
      </c>
      <c r="AC408" s="108">
        <f>SUM(AB408,-Z408,-AA408)</f>
        <v>836155.78199999966</v>
      </c>
    </row>
    <row r="409" spans="1:29" x14ac:dyDescent="0.2">
      <c r="A409" s="125" t="s">
        <v>743</v>
      </c>
      <c r="B409" s="99">
        <f>SUM(G409,-F409)/(F409*9)</f>
        <v>-2.2299079542097682E-3</v>
      </c>
      <c r="C409" t="s">
        <v>228</v>
      </c>
      <c r="D409" s="99">
        <f>SUM(H409,-J409)/(H409*2)</f>
        <v>3.6089601769911502E-2</v>
      </c>
      <c r="E409" s="123">
        <f t="shared" ref="E409:J409" si="59">SUM(E406:E408)</f>
        <v>255175900</v>
      </c>
      <c r="F409" s="93">
        <f t="shared" si="59"/>
        <v>85006</v>
      </c>
      <c r="G409" s="93">
        <f t="shared" si="59"/>
        <v>83300</v>
      </c>
      <c r="H409" s="93">
        <f t="shared" si="59"/>
        <v>3616</v>
      </c>
      <c r="I409" s="93">
        <f t="shared" si="59"/>
        <v>8420</v>
      </c>
      <c r="J409" s="108">
        <f t="shared" si="59"/>
        <v>3355</v>
      </c>
      <c r="K409" s="108">
        <f>(F409*138.66)*SUM(1,Macrogegevens!$C$4,0.5*Macrogegevens!$C$6,Macrogegevens!$C$8)</f>
        <v>12030921.451572001</v>
      </c>
      <c r="L409" s="108">
        <f>IF(AC409&gt;0,AC409,0)</f>
        <v>2271850</v>
      </c>
      <c r="M409" s="108">
        <f>SUM(M406:M408)</f>
        <v>22296906.528745394</v>
      </c>
      <c r="N409" s="108">
        <f>SUM(N406:N408)</f>
        <v>9651170.9717970882</v>
      </c>
      <c r="O409" s="108">
        <f>SUM(O406:O408)</f>
        <v>15351744.647530181</v>
      </c>
      <c r="P409" s="108">
        <f>SUM(M409,N409,O409)</f>
        <v>47299822.148072667</v>
      </c>
      <c r="Q409" s="108">
        <f>SUM(Q406:Q408)</f>
        <v>234402400</v>
      </c>
      <c r="R409" s="155">
        <v>5246</v>
      </c>
      <c r="S409" s="122">
        <v>0.123</v>
      </c>
      <c r="T409" s="122">
        <v>0.219</v>
      </c>
      <c r="U409" s="122">
        <v>0.20399999999999999</v>
      </c>
      <c r="V409" s="122" t="s">
        <v>743</v>
      </c>
      <c r="W409" s="108">
        <f>SUM(W406:W408)</f>
        <v>5114000000</v>
      </c>
      <c r="X409" s="108">
        <f>SUM(X406:X408)</f>
        <v>901600000</v>
      </c>
      <c r="Y409" s="108">
        <f>SUM(Y406:Y408)</f>
        <v>925400000</v>
      </c>
      <c r="Z409" s="108">
        <f>S409/100*W409</f>
        <v>6290220</v>
      </c>
      <c r="AA409" s="108">
        <f>SUM(T409/100*X409,U409/100*Y409)</f>
        <v>3862320</v>
      </c>
      <c r="AB409" s="108">
        <f>(0.179/100)*SUM(W409,X409,Y409)</f>
        <v>12424390</v>
      </c>
      <c r="AC409" s="108">
        <f>SUM(AB409,-Z409,-AA409)</f>
        <v>2271850</v>
      </c>
    </row>
    <row r="410" spans="1:29" x14ac:dyDescent="0.2">
      <c r="Q410" s="108"/>
      <c r="R410" s="155"/>
      <c r="V410" s="122"/>
      <c r="AC410" s="108"/>
    </row>
    <row r="411" spans="1:29" x14ac:dyDescent="0.2">
      <c r="A411" s="124" t="s">
        <v>436</v>
      </c>
      <c r="B411" s="99">
        <f t="shared" ref="B411:B416" si="60">SUM(G411,-F411)/(F411*9)</f>
        <v>4.6525986196555751E-3</v>
      </c>
      <c r="C411" t="s">
        <v>689</v>
      </c>
      <c r="D411" s="99">
        <f t="shared" ref="D411:D416" si="61">SUM(H411,-J411)/(H411*2)</f>
        <v>8.1325301204819275E-2</v>
      </c>
      <c r="E411" s="123">
        <v>20328718</v>
      </c>
      <c r="F411" s="219">
        <v>10078</v>
      </c>
      <c r="G411" s="93">
        <v>10500</v>
      </c>
      <c r="H411" s="93">
        <v>830</v>
      </c>
      <c r="I411" s="93">
        <v>1800</v>
      </c>
      <c r="J411" s="93">
        <v>695</v>
      </c>
      <c r="K411" s="108">
        <f>(F411*138.66)*SUM(1,Macrogegevens!$C$4,0.5*Macrogegevens!$C$6,Macrogegevens!$C$8)</f>
        <v>1426341.9804360003</v>
      </c>
      <c r="L411" s="108">
        <f t="shared" ref="L411:L416" si="62">IF(AC411&gt;0,AC411,0)</f>
        <v>481136.99999999977</v>
      </c>
      <c r="M411" s="108">
        <v>1938300.8368434526</v>
      </c>
      <c r="N411" s="108">
        <v>815531.05748542037</v>
      </c>
      <c r="O411" s="108">
        <v>0</v>
      </c>
      <c r="P411" s="108">
        <f t="shared" ref="P411:P416" si="63">SUM(M411,N411,O411)</f>
        <v>2753831.8943288731</v>
      </c>
      <c r="Q411" s="108">
        <v>17335593</v>
      </c>
      <c r="R411" s="155">
        <v>-511.35779627916537</v>
      </c>
      <c r="S411" s="122">
        <v>0.1157</v>
      </c>
      <c r="T411" s="122">
        <v>0.223</v>
      </c>
      <c r="U411" s="122">
        <v>0.17960000000000001</v>
      </c>
      <c r="V411" s="122" t="s">
        <v>436</v>
      </c>
      <c r="W411" s="108">
        <v>875600000</v>
      </c>
      <c r="X411" s="108">
        <v>163800000</v>
      </c>
      <c r="Y411" s="108">
        <v>174300000</v>
      </c>
      <c r="Z411" s="108">
        <f t="shared" ref="Z411:Z416" si="64">S411/100*W411</f>
        <v>1013069.2000000001</v>
      </c>
      <c r="AA411" s="108">
        <f t="shared" ref="AA411:AA416" si="65">SUM(T411/100*X411,U411/100*Y411)</f>
        <v>678316.8</v>
      </c>
      <c r="AB411" s="108">
        <f t="shared" ref="AB411:AB416" si="66">(0.179/100)*SUM(W411,X411,Y411)</f>
        <v>2172523</v>
      </c>
      <c r="AC411" s="108">
        <f t="shared" ref="AC411:AC416" si="67">SUM(AB411,-Z411,-AA411)</f>
        <v>481136.99999999977</v>
      </c>
    </row>
    <row r="412" spans="1:29" x14ac:dyDescent="0.2">
      <c r="A412" s="124" t="s">
        <v>466</v>
      </c>
      <c r="B412" s="99">
        <f t="shared" si="60"/>
        <v>-6.6154402174767044E-3</v>
      </c>
      <c r="C412" t="s">
        <v>689</v>
      </c>
      <c r="D412" s="99">
        <f t="shared" si="61"/>
        <v>3.3261802575107295E-2</v>
      </c>
      <c r="E412" s="123">
        <v>29862931</v>
      </c>
      <c r="F412" s="219">
        <v>14142</v>
      </c>
      <c r="G412" s="93">
        <v>13300</v>
      </c>
      <c r="H412" s="93">
        <v>932</v>
      </c>
      <c r="I412" s="93">
        <v>2325</v>
      </c>
      <c r="J412" s="93">
        <v>870</v>
      </c>
      <c r="K412" s="108">
        <f>(F412*138.66)*SUM(1,Macrogegevens!$C$4,0.5*Macrogegevens!$C$6,Macrogegevens!$C$8)</f>
        <v>2001520.9652040002</v>
      </c>
      <c r="L412" s="108">
        <f t="shared" si="62"/>
        <v>468693.1</v>
      </c>
      <c r="M412" s="108">
        <v>2413499.8690466089</v>
      </c>
      <c r="N412" s="108">
        <v>987826.85552532785</v>
      </c>
      <c r="O412" s="108">
        <v>0</v>
      </c>
      <c r="P412" s="108">
        <f t="shared" si="63"/>
        <v>3401326.7245719368</v>
      </c>
      <c r="Q412" s="108">
        <v>28254822</v>
      </c>
      <c r="R412" s="155">
        <v>411.869099169447</v>
      </c>
      <c r="S412" s="122">
        <v>0.121</v>
      </c>
      <c r="T412" s="122">
        <v>0.2429</v>
      </c>
      <c r="U412" s="122">
        <v>0.2029</v>
      </c>
      <c r="V412" s="122" t="s">
        <v>466</v>
      </c>
      <c r="W412" s="108">
        <v>1066400000</v>
      </c>
      <c r="X412" s="108">
        <v>168350000</v>
      </c>
      <c r="Y412" s="108">
        <v>176750000</v>
      </c>
      <c r="Z412" s="108">
        <f t="shared" si="64"/>
        <v>1290344</v>
      </c>
      <c r="AA412" s="108">
        <f t="shared" si="65"/>
        <v>767547.9</v>
      </c>
      <c r="AB412" s="108">
        <f t="shared" si="66"/>
        <v>2526585</v>
      </c>
      <c r="AC412" s="108">
        <f t="shared" si="67"/>
        <v>468693.1</v>
      </c>
    </row>
    <row r="413" spans="1:29" x14ac:dyDescent="0.2">
      <c r="A413" s="124" t="s">
        <v>472</v>
      </c>
      <c r="B413" s="99">
        <f t="shared" si="60"/>
        <v>-7.4451041372160963E-3</v>
      </c>
      <c r="C413" t="s">
        <v>689</v>
      </c>
      <c r="D413" s="99">
        <f t="shared" si="61"/>
        <v>5.9294871794871792E-2</v>
      </c>
      <c r="E413" s="123">
        <v>15715579</v>
      </c>
      <c r="F413" s="219">
        <v>8253</v>
      </c>
      <c r="G413" s="93">
        <v>7700</v>
      </c>
      <c r="H413" s="93">
        <v>624</v>
      </c>
      <c r="I413" s="93">
        <v>1430</v>
      </c>
      <c r="J413" s="93">
        <v>550</v>
      </c>
      <c r="K413" s="108">
        <f>(F413*138.66)*SUM(1,Macrogegevens!$C$4,0.5*Macrogegevens!$C$6,Macrogegevens!$C$8)</f>
        <v>1168049.2522860002</v>
      </c>
      <c r="L413" s="108">
        <f t="shared" si="62"/>
        <v>201035.19999999995</v>
      </c>
      <c r="M413" s="108">
        <v>1715919.2985941716</v>
      </c>
      <c r="N413" s="108">
        <v>609599.41390542476</v>
      </c>
      <c r="O413" s="108">
        <v>0</v>
      </c>
      <c r="P413" s="108">
        <f t="shared" si="63"/>
        <v>2325518.7124995962</v>
      </c>
      <c r="Q413" s="108">
        <v>15672625</v>
      </c>
      <c r="R413" s="155">
        <v>-549.25775978407557</v>
      </c>
      <c r="S413" s="122">
        <v>0.13370000000000001</v>
      </c>
      <c r="T413" s="122">
        <v>0.21870000000000001</v>
      </c>
      <c r="U413" s="122">
        <v>0.20810000000000001</v>
      </c>
      <c r="V413" s="122" t="s">
        <v>472</v>
      </c>
      <c r="W413" s="108">
        <v>604400000</v>
      </c>
      <c r="X413" s="108">
        <v>102200000</v>
      </c>
      <c r="Y413" s="108">
        <v>110600000</v>
      </c>
      <c r="Z413" s="108">
        <f t="shared" si="64"/>
        <v>808082.8</v>
      </c>
      <c r="AA413" s="108">
        <f t="shared" si="65"/>
        <v>453670</v>
      </c>
      <c r="AB413" s="108">
        <f t="shared" si="66"/>
        <v>1462788</v>
      </c>
      <c r="AC413" s="108">
        <f t="shared" si="67"/>
        <v>201035.19999999995</v>
      </c>
    </row>
    <row r="414" spans="1:29" x14ac:dyDescent="0.2">
      <c r="A414" s="124" t="s">
        <v>479</v>
      </c>
      <c r="B414" s="99">
        <f t="shared" si="60"/>
        <v>-8.6788095504153166E-3</v>
      </c>
      <c r="C414" t="s">
        <v>621</v>
      </c>
      <c r="D414" s="99">
        <f t="shared" si="61"/>
        <v>4.6875E-2</v>
      </c>
      <c r="E414" s="123">
        <v>27153000</v>
      </c>
      <c r="F414" s="219">
        <v>11932</v>
      </c>
      <c r="G414" s="93">
        <v>11000</v>
      </c>
      <c r="H414" s="93">
        <v>800</v>
      </c>
      <c r="I414" s="93">
        <v>2010</v>
      </c>
      <c r="J414" s="93">
        <v>725</v>
      </c>
      <c r="K414" s="108">
        <f>(F414*138.66)*SUM(1,Macrogegevens!$C$4,0.5*Macrogegevens!$C$6,Macrogegevens!$C$8)</f>
        <v>1688739.0861840001</v>
      </c>
      <c r="L414" s="108">
        <f t="shared" si="62"/>
        <v>678020.75000000012</v>
      </c>
      <c r="M414" s="108">
        <v>2466194.5391711462</v>
      </c>
      <c r="N414" s="108">
        <v>930718.84708570899</v>
      </c>
      <c r="O414" s="108">
        <v>0</v>
      </c>
      <c r="P414" s="108">
        <f t="shared" si="63"/>
        <v>3396913.386256855</v>
      </c>
      <c r="Q414" s="108">
        <v>27400000</v>
      </c>
      <c r="R414" s="155">
        <v>6.5081351689612017</v>
      </c>
      <c r="S414" s="122">
        <v>9.3899999999999997E-2</v>
      </c>
      <c r="T414" s="122">
        <v>0.22819999999999999</v>
      </c>
      <c r="U414" s="122">
        <v>0.1857</v>
      </c>
      <c r="V414" s="122" t="s">
        <v>479</v>
      </c>
      <c r="W414" s="108">
        <v>871600000</v>
      </c>
      <c r="X414" s="108">
        <v>113050000</v>
      </c>
      <c r="Y414" s="108">
        <v>120749999.99999999</v>
      </c>
      <c r="Z414" s="108">
        <f t="shared" si="64"/>
        <v>818432.39999999991</v>
      </c>
      <c r="AA414" s="108">
        <f t="shared" si="65"/>
        <v>482212.85</v>
      </c>
      <c r="AB414" s="108">
        <f t="shared" si="66"/>
        <v>1978666</v>
      </c>
      <c r="AC414" s="108">
        <f t="shared" si="67"/>
        <v>678020.75000000012</v>
      </c>
    </row>
    <row r="415" spans="1:29" x14ac:dyDescent="0.2">
      <c r="A415" s="124" t="s">
        <v>485</v>
      </c>
      <c r="B415" s="99">
        <f t="shared" si="60"/>
        <v>-7.5985075985075985E-3</v>
      </c>
      <c r="C415" t="s">
        <v>689</v>
      </c>
      <c r="D415" s="99">
        <f t="shared" si="61"/>
        <v>8.2869855394883202E-2</v>
      </c>
      <c r="E415" s="123">
        <v>16742000</v>
      </c>
      <c r="F415" s="219">
        <v>9768</v>
      </c>
      <c r="G415" s="93">
        <v>9100</v>
      </c>
      <c r="H415" s="93">
        <v>899</v>
      </c>
      <c r="I415" s="93">
        <v>1875</v>
      </c>
      <c r="J415" s="93">
        <v>750</v>
      </c>
      <c r="K415" s="108">
        <f>(F415*138.66)*SUM(1,Macrogegevens!$C$4,0.5*Macrogegevens!$C$6,Macrogegevens!$C$8)</f>
        <v>1382467.5992160002</v>
      </c>
      <c r="L415" s="108">
        <f t="shared" si="62"/>
        <v>246091.04999999993</v>
      </c>
      <c r="M415" s="108">
        <v>2181904.6897508567</v>
      </c>
      <c r="N415" s="108">
        <v>886948.93853934377</v>
      </c>
      <c r="O415" s="108">
        <v>0</v>
      </c>
      <c r="P415" s="108">
        <f t="shared" si="63"/>
        <v>3068853.6282902006</v>
      </c>
      <c r="Q415" s="108">
        <v>17087000</v>
      </c>
      <c r="R415" s="155">
        <v>40.295293755767453</v>
      </c>
      <c r="S415" s="122">
        <v>0.1358</v>
      </c>
      <c r="T415" s="122">
        <v>0.23930000000000001</v>
      </c>
      <c r="U415" s="122">
        <v>0.2051</v>
      </c>
      <c r="V415" s="122" t="s">
        <v>485</v>
      </c>
      <c r="W415" s="108">
        <v>822800000</v>
      </c>
      <c r="X415" s="108">
        <v>119699999.99999999</v>
      </c>
      <c r="Y415" s="108">
        <v>142450000</v>
      </c>
      <c r="Z415" s="108">
        <f t="shared" si="64"/>
        <v>1117362.4000000001</v>
      </c>
      <c r="AA415" s="108">
        <f t="shared" si="65"/>
        <v>578607.04999999993</v>
      </c>
      <c r="AB415" s="108">
        <f t="shared" si="66"/>
        <v>1942060.5</v>
      </c>
      <c r="AC415" s="108">
        <f t="shared" si="67"/>
        <v>246091.04999999993</v>
      </c>
    </row>
    <row r="416" spans="1:29" x14ac:dyDescent="0.2">
      <c r="A416" s="125" t="s">
        <v>742</v>
      </c>
      <c r="B416" s="99">
        <f t="shared" si="60"/>
        <v>-5.2773316760912061E-3</v>
      </c>
      <c r="C416" t="s">
        <v>228</v>
      </c>
      <c r="D416" s="99">
        <f t="shared" si="61"/>
        <v>6.0587515299877603E-2</v>
      </c>
      <c r="E416" s="93">
        <f t="shared" ref="E416:J416" si="68">SUM(E411:E415)</f>
        <v>109802228</v>
      </c>
      <c r="F416" s="93">
        <f t="shared" si="68"/>
        <v>54173</v>
      </c>
      <c r="G416" s="93">
        <f t="shared" si="68"/>
        <v>51600</v>
      </c>
      <c r="H416" s="93">
        <f t="shared" si="68"/>
        <v>4085</v>
      </c>
      <c r="I416" s="93">
        <f t="shared" si="68"/>
        <v>9440</v>
      </c>
      <c r="J416" s="108">
        <f t="shared" si="68"/>
        <v>3590</v>
      </c>
      <c r="K416" s="108">
        <f>(F416*138.66)*SUM(1,Macrogegevens!$C$4,0.5*Macrogegevens!$C$6,Macrogegevens!$C$8)</f>
        <v>7667118.8833260005</v>
      </c>
      <c r="L416" s="108">
        <f t="shared" si="62"/>
        <v>2148827.5</v>
      </c>
      <c r="M416" s="108">
        <f>SUM(M411:M415)</f>
        <v>10715819.233406235</v>
      </c>
      <c r="N416" s="108">
        <f>SUM(N411:N415)</f>
        <v>4230625.1125412257</v>
      </c>
      <c r="O416" s="108">
        <f>SUM(O411:O415)</f>
        <v>0</v>
      </c>
      <c r="P416" s="108">
        <f t="shared" si="63"/>
        <v>14946444.345947459</v>
      </c>
      <c r="Q416" s="108">
        <f>SUM(Q411:Q415)</f>
        <v>105750040</v>
      </c>
      <c r="R416" s="155">
        <v>-63</v>
      </c>
      <c r="S416" s="122">
        <v>0.12</v>
      </c>
      <c r="T416" s="122">
        <v>0.22</v>
      </c>
      <c r="U416" s="122">
        <v>0.19</v>
      </c>
      <c r="V416" s="122" t="s">
        <v>742</v>
      </c>
      <c r="W416" s="108">
        <f>SUM(W411:W415)</f>
        <v>4240800000</v>
      </c>
      <c r="X416" s="108">
        <f>SUM(X411:X415)</f>
        <v>667100000</v>
      </c>
      <c r="Y416" s="108">
        <f>SUM(Y411:Y415)</f>
        <v>724850000</v>
      </c>
      <c r="Z416" s="108">
        <f t="shared" si="64"/>
        <v>5088960</v>
      </c>
      <c r="AA416" s="108">
        <f t="shared" si="65"/>
        <v>2844835</v>
      </c>
      <c r="AB416" s="108">
        <f t="shared" si="66"/>
        <v>10082622.5</v>
      </c>
      <c r="AC416" s="108">
        <f t="shared" si="67"/>
        <v>2148827.5</v>
      </c>
    </row>
    <row r="417" spans="1:29" x14ac:dyDescent="0.2">
      <c r="Q417" s="108"/>
      <c r="R417" s="157"/>
      <c r="V417" s="122"/>
      <c r="AC417" s="108"/>
    </row>
    <row r="418" spans="1:29" x14ac:dyDescent="0.2">
      <c r="A418" s="124" t="s">
        <v>545</v>
      </c>
      <c r="B418" s="99">
        <f>SUM(G418,-F418)/(F418*9)</f>
        <v>-7.6429763682684705E-3</v>
      </c>
      <c r="C418" t="s">
        <v>689</v>
      </c>
      <c r="D418" s="99">
        <f>SUM(H418,-J418)/(H418*2)</f>
        <v>3.436254980079681E-2</v>
      </c>
      <c r="E418" s="123">
        <v>24889000</v>
      </c>
      <c r="F418" s="219">
        <v>11383</v>
      </c>
      <c r="G418" s="93">
        <v>10600</v>
      </c>
      <c r="H418" s="93">
        <v>1004</v>
      </c>
      <c r="I418" s="93">
        <v>2210</v>
      </c>
      <c r="J418" s="93">
        <v>935</v>
      </c>
      <c r="K418" s="108">
        <f>(F418*138.66)*SUM(1,Macrogegevens!$C$4,0.5*Macrogegevens!$C$6,Macrogegevens!$C$8)</f>
        <v>1611038.9723460004</v>
      </c>
      <c r="L418" s="108">
        <f>IF(AC418&gt;0,AC418,0)</f>
        <v>543451.69999999995</v>
      </c>
      <c r="M418" s="108">
        <v>2448718.8271402684</v>
      </c>
      <c r="N418" s="108">
        <v>898534.29277754761</v>
      </c>
      <c r="O418" s="108">
        <v>0</v>
      </c>
      <c r="P418" s="108">
        <f>SUM(M418,N418,O418)</f>
        <v>3347253.119917816</v>
      </c>
      <c r="Q418" s="108">
        <v>24567000</v>
      </c>
      <c r="R418" s="155">
        <v>2867.3233936812212</v>
      </c>
      <c r="S418" s="122">
        <v>0.1045</v>
      </c>
      <c r="T418" s="122">
        <v>0.22750000000000001</v>
      </c>
      <c r="U418" s="122">
        <v>0.28070000000000001</v>
      </c>
      <c r="V418" s="122" t="s">
        <v>545</v>
      </c>
      <c r="W418" s="108">
        <v>1004400000</v>
      </c>
      <c r="X418" s="108">
        <v>122149999.99999999</v>
      </c>
      <c r="Y418" s="108">
        <v>143150000</v>
      </c>
      <c r="Z418" s="108">
        <f>S418/100*W418</f>
        <v>1049598</v>
      </c>
      <c r="AA418" s="108">
        <f>SUM(T418/100*X418,U418/100*Y418)</f>
        <v>679713.3</v>
      </c>
      <c r="AB418" s="108">
        <f>(0.179/100)*SUM(W418,X418,Y418)</f>
        <v>2272763</v>
      </c>
      <c r="AC418" s="108">
        <f>SUM(AB418,-Z418,-AA418)</f>
        <v>543451.69999999995</v>
      </c>
    </row>
    <row r="419" spans="1:29" x14ac:dyDescent="0.2">
      <c r="A419" s="124" t="s">
        <v>545</v>
      </c>
      <c r="B419" s="99">
        <f>SUM(G419,-F419)/(F419*9)</f>
        <v>-7.6429763682684723E-3</v>
      </c>
      <c r="C419" t="s">
        <v>689</v>
      </c>
      <c r="D419" s="99">
        <f>SUM(H419,-J419)/(H419*2)</f>
        <v>3.4362549800796775E-2</v>
      </c>
      <c r="E419" s="93">
        <f>4504/11284*E418</f>
        <v>9934425.3810705412</v>
      </c>
      <c r="F419" s="93">
        <f t="shared" ref="F419:N419" si="69">4504/11284*F418</f>
        <v>4543.5157745480328</v>
      </c>
      <c r="G419" s="93">
        <f t="shared" si="69"/>
        <v>4230.9819213045021</v>
      </c>
      <c r="H419" s="93">
        <f t="shared" si="69"/>
        <v>400.74583481035091</v>
      </c>
      <c r="I419" s="93">
        <f t="shared" si="69"/>
        <v>882.1198156682027</v>
      </c>
      <c r="J419" s="93">
        <f t="shared" si="69"/>
        <v>373.20453739808579</v>
      </c>
      <c r="K419" s="108">
        <f>(F419*138.66)*SUM(1,Macrogegevens!$C$4,0.5*Macrogegevens!$C$6,Macrogegevens!$C$8)</f>
        <v>643044.97797291609</v>
      </c>
      <c r="L419" s="108">
        <f>IF(AC419&gt;0,AC419,0)</f>
        <v>214498.60935838352</v>
      </c>
      <c r="M419" s="93">
        <f t="shared" si="69"/>
        <v>977404.25358381495</v>
      </c>
      <c r="N419" s="93">
        <f t="shared" si="69"/>
        <v>358649.27815225755</v>
      </c>
      <c r="O419" s="93">
        <f>4504/11284*O418</f>
        <v>0</v>
      </c>
      <c r="P419" s="93">
        <f>4504/11284*P418</f>
        <v>1336053.5317360726</v>
      </c>
      <c r="Q419" s="93">
        <f>4504/11284*Q418</f>
        <v>9805899.3264799714</v>
      </c>
      <c r="R419" s="155">
        <v>2867</v>
      </c>
      <c r="S419" s="122">
        <v>0.105</v>
      </c>
      <c r="T419" s="122">
        <v>0.22800000000000001</v>
      </c>
      <c r="U419" s="122">
        <v>0.28100000000000003</v>
      </c>
      <c r="V419" s="122" t="s">
        <v>545</v>
      </c>
      <c r="W419" s="93">
        <f>4504/11284*W418</f>
        <v>400905494.50549448</v>
      </c>
      <c r="X419" s="93">
        <f>4504/11284*X418</f>
        <v>48756079.404466495</v>
      </c>
      <c r="Y419" s="93">
        <f>4504/11284*Y418</f>
        <v>57138213.399503723</v>
      </c>
      <c r="Z419" s="108">
        <f>S419/100*W419</f>
        <v>420950.76923076919</v>
      </c>
      <c r="AA419" s="108">
        <f>SUM(T419/100*X419,U419/100*Y419)</f>
        <v>271722.2406947891</v>
      </c>
      <c r="AB419" s="108">
        <f>(0.179/100)*SUM(W419,X419,Y419)</f>
        <v>907171.61928394181</v>
      </c>
      <c r="AC419" s="108">
        <f>SUM(AB419,-Z419,-AA419)</f>
        <v>214498.60935838352</v>
      </c>
    </row>
    <row r="420" spans="1:29" x14ac:dyDescent="0.2">
      <c r="A420" s="124" t="s">
        <v>551</v>
      </c>
      <c r="B420" s="99">
        <f>SUM(G420,-F420)/(F420*9)</f>
        <v>2.7800934351439816E-3</v>
      </c>
      <c r="C420" t="s">
        <v>621</v>
      </c>
      <c r="D420" s="99">
        <f>SUM(H420,-J420)/(H420*2)</f>
        <v>3.5936113575865132E-2</v>
      </c>
      <c r="E420" s="123">
        <v>228775000</v>
      </c>
      <c r="F420" s="219">
        <v>85169</v>
      </c>
      <c r="G420" s="93">
        <v>87300</v>
      </c>
      <c r="H420" s="93">
        <v>5635</v>
      </c>
      <c r="I420" s="93">
        <v>13485</v>
      </c>
      <c r="J420" s="93">
        <v>5230</v>
      </c>
      <c r="K420" s="108">
        <f>(F420*138.66)*SUM(1,Macrogegevens!$C$4,0.5*Macrogegevens!$C$6,Macrogegevens!$C$8)</f>
        <v>12053990.884278001</v>
      </c>
      <c r="L420" s="108">
        <f>IF(AC420&gt;0,AC420,0)</f>
        <v>4017974.2</v>
      </c>
      <c r="M420" s="108">
        <v>21515145.943116412</v>
      </c>
      <c r="N420" s="108">
        <v>11090391.332796063</v>
      </c>
      <c r="O420" s="108">
        <v>15315159.909756798</v>
      </c>
      <c r="P420" s="108">
        <f>SUM(M420,N420,O420)</f>
        <v>47920697.185669273</v>
      </c>
      <c r="Q420" s="108">
        <v>225315000</v>
      </c>
      <c r="R420" s="161">
        <v>1929.785942910177</v>
      </c>
      <c r="S420" s="122">
        <v>0.11169999999999999</v>
      </c>
      <c r="T420" s="122">
        <v>0.2041</v>
      </c>
      <c r="U420" s="122">
        <v>0.16500000000000001</v>
      </c>
      <c r="V420" s="122" t="s">
        <v>551</v>
      </c>
      <c r="W420" s="108">
        <v>6158000000</v>
      </c>
      <c r="X420" s="108">
        <v>1255800000</v>
      </c>
      <c r="Y420" s="108">
        <v>1348900000</v>
      </c>
      <c r="Z420" s="108">
        <f>S420/100*W420</f>
        <v>6878486</v>
      </c>
      <c r="AA420" s="108">
        <f>SUM(T420/100*X420,U420/100*Y420)</f>
        <v>4788772.8</v>
      </c>
      <c r="AB420" s="108">
        <f>(0.179/100)*SUM(W420,X420,Y420)</f>
        <v>15685233</v>
      </c>
      <c r="AC420" s="108">
        <f>SUM(AB420,-Z420,-AA420)</f>
        <v>4017974.2</v>
      </c>
    </row>
    <row r="421" spans="1:29" x14ac:dyDescent="0.2">
      <c r="A421" s="125" t="s">
        <v>551</v>
      </c>
      <c r="B421" s="99">
        <f>SUM(G421,-F421)/(F421*9)</f>
        <v>2.2522141123744316E-3</v>
      </c>
      <c r="C421" t="s">
        <v>621</v>
      </c>
      <c r="D421" s="99">
        <f>SUM(H421,-J421)/(H421*2)</f>
        <v>3.5831636159829816E-2</v>
      </c>
      <c r="E421" s="123">
        <f t="shared" ref="E421:J421" si="70">SUM(E419:E420)</f>
        <v>238709425.38107055</v>
      </c>
      <c r="F421" s="93">
        <f t="shared" si="70"/>
        <v>89712.515774548039</v>
      </c>
      <c r="G421" s="93">
        <f t="shared" si="70"/>
        <v>91530.981921304498</v>
      </c>
      <c r="H421" s="93">
        <f t="shared" si="70"/>
        <v>6035.745834810351</v>
      </c>
      <c r="I421" s="93">
        <f t="shared" si="70"/>
        <v>14367.119815668202</v>
      </c>
      <c r="J421" s="108">
        <f t="shared" si="70"/>
        <v>5603.2045373980854</v>
      </c>
      <c r="K421" s="108">
        <f>(F421*138.66)*SUM(1,Macrogegevens!$C$4,0.5*Macrogegevens!$C$6,Macrogegevens!$C$8)</f>
        <v>12697035.862250919</v>
      </c>
      <c r="L421" s="108">
        <f>IF(AC421&gt;0,AC421,0)</f>
        <v>4265173.0113434922</v>
      </c>
      <c r="M421" s="108">
        <f>SUM(M419:M420)</f>
        <v>22492550.196700227</v>
      </c>
      <c r="N421" s="108">
        <f>SUM(N419:N420)</f>
        <v>11449040.61094832</v>
      </c>
      <c r="O421" s="108">
        <f>SUM(O419:O420)</f>
        <v>15315159.909756798</v>
      </c>
      <c r="P421" s="108">
        <f>SUM(M421,N421,O421)</f>
        <v>49256750.717405349</v>
      </c>
      <c r="Q421" s="108">
        <f>SUM(Q419:Q420)</f>
        <v>235120899.32647997</v>
      </c>
      <c r="R421" s="155">
        <v>1977</v>
      </c>
      <c r="S421" s="122">
        <v>0.112</v>
      </c>
      <c r="T421" s="122">
        <v>0.20399999999999999</v>
      </c>
      <c r="U421" s="122">
        <v>0.16500000000000001</v>
      </c>
      <c r="V421" s="122" t="s">
        <v>551</v>
      </c>
      <c r="W421" s="108">
        <f>SUM(W419:W420)</f>
        <v>6558905494.5054941</v>
      </c>
      <c r="X421" s="108">
        <f>SUM(X419:X420)</f>
        <v>1304556079.4044664</v>
      </c>
      <c r="Y421" s="108">
        <f>SUM(Y419:Y420)</f>
        <v>1406038213.3995037</v>
      </c>
      <c r="Z421" s="108">
        <f>S421/100*W421</f>
        <v>7345974.153846154</v>
      </c>
      <c r="AA421" s="108">
        <f>SUM(T421/100*X421,U421/100*Y421)</f>
        <v>4981257.4540942926</v>
      </c>
      <c r="AB421" s="108">
        <f>(0.179/100)*SUM(W421,X421,Y421)</f>
        <v>16592404.619283939</v>
      </c>
      <c r="AC421" s="108">
        <f>SUM(AB421,-Z421,-AA421)</f>
        <v>4265173.0113434922</v>
      </c>
    </row>
    <row r="422" spans="1:29" x14ac:dyDescent="0.2">
      <c r="Q422" s="108"/>
      <c r="R422" s="157"/>
      <c r="V422" s="122"/>
      <c r="AC422" s="108"/>
    </row>
    <row r="423" spans="1:29" x14ac:dyDescent="0.2">
      <c r="A423" s="124" t="s">
        <v>545</v>
      </c>
      <c r="B423" s="99">
        <f>SUM(G423,-F423)/(F423*9)</f>
        <v>-7.6429763682684705E-3</v>
      </c>
      <c r="C423" t="s">
        <v>689</v>
      </c>
      <c r="D423" s="99">
        <f>SUM(H423,-J423)/(H423*2)</f>
        <v>3.436254980079681E-2</v>
      </c>
      <c r="E423" s="123">
        <v>24889000</v>
      </c>
      <c r="F423" s="219">
        <v>11383</v>
      </c>
      <c r="G423" s="93">
        <v>10600</v>
      </c>
      <c r="H423" s="93">
        <v>1004</v>
      </c>
      <c r="I423" s="93">
        <v>2210</v>
      </c>
      <c r="J423" s="93">
        <v>935</v>
      </c>
      <c r="K423" s="108">
        <f>(F423*138.66)*SUM(1,Macrogegevens!$C$4,0.5*Macrogegevens!$C$6,Macrogegevens!$C$8)</f>
        <v>1611038.9723460004</v>
      </c>
      <c r="L423" s="108">
        <f>IF(AC423&gt;0,AC423,0)</f>
        <v>543451.69999999995</v>
      </c>
      <c r="M423" s="108">
        <v>2448718.8271402684</v>
      </c>
      <c r="N423" s="108">
        <v>898534.29277754761</v>
      </c>
      <c r="O423" s="108">
        <v>0</v>
      </c>
      <c r="P423" s="108">
        <f>SUM(M423,N423,O423)</f>
        <v>3347253.119917816</v>
      </c>
      <c r="Q423" s="108">
        <v>24567000</v>
      </c>
      <c r="R423" s="155">
        <v>2867.3233936812212</v>
      </c>
      <c r="S423" s="122">
        <v>0.1045</v>
      </c>
      <c r="T423" s="122">
        <v>0.22750000000000001</v>
      </c>
      <c r="U423" s="122">
        <v>0.28070000000000001</v>
      </c>
      <c r="V423" s="122" t="s">
        <v>545</v>
      </c>
      <c r="W423" s="108">
        <v>1004400000</v>
      </c>
      <c r="X423" s="108">
        <v>122149999.99999999</v>
      </c>
      <c r="Y423" s="108">
        <v>143150000</v>
      </c>
      <c r="Z423" s="108">
        <f>S423/100*W423</f>
        <v>1049598</v>
      </c>
      <c r="AA423" s="108">
        <f>SUM(T423/100*X423,U423/100*Y423)</f>
        <v>679713.3</v>
      </c>
      <c r="AB423" s="108">
        <f>(0.179/100)*SUM(W423,X423,Y423)</f>
        <v>2272763</v>
      </c>
      <c r="AC423" s="108">
        <f>SUM(AB423,-Z423,-AA423)</f>
        <v>543451.69999999995</v>
      </c>
    </row>
    <row r="424" spans="1:29" x14ac:dyDescent="0.2">
      <c r="A424" s="124" t="s">
        <v>545</v>
      </c>
      <c r="B424" s="99">
        <f>SUM(G424,-F424)/(F424*9)</f>
        <v>-7.6429763682684688E-3</v>
      </c>
      <c r="C424" t="s">
        <v>689</v>
      </c>
      <c r="D424" s="99">
        <f>SUM(H424,-J424)/(H424*2)</f>
        <v>3.4362549800796796E-2</v>
      </c>
      <c r="E424" s="93">
        <f t="shared" ref="E424:J424" si="71">6780/11284*E423</f>
        <v>14954574.618929457</v>
      </c>
      <c r="F424" s="93">
        <f t="shared" si="71"/>
        <v>6839.4842254519672</v>
      </c>
      <c r="G424" s="93">
        <f t="shared" si="71"/>
        <v>6369.0180786954979</v>
      </c>
      <c r="H424" s="93">
        <f t="shared" si="71"/>
        <v>603.25416518964903</v>
      </c>
      <c r="I424" s="93">
        <f t="shared" si="71"/>
        <v>1327.8801843317972</v>
      </c>
      <c r="J424" s="93">
        <f t="shared" si="71"/>
        <v>561.79546260191421</v>
      </c>
      <c r="K424" s="108">
        <f>(F424*138.66)*SUM(1,Macrogegevens!$C$4,0.5*Macrogegevens!$C$6,Macrogegevens!$C$8)</f>
        <v>967993.99437308405</v>
      </c>
      <c r="L424" s="108">
        <f>IF(AC424&gt;0,AC424,0)</f>
        <v>322890.89064161642</v>
      </c>
      <c r="M424" s="93">
        <f>6780/11284*M423</f>
        <v>1471314.5735564532</v>
      </c>
      <c r="N424" s="93">
        <f>6780/11284*N423</f>
        <v>539885.01462529006</v>
      </c>
      <c r="O424" s="93">
        <f>6780/11284*O423</f>
        <v>0</v>
      </c>
      <c r="P424" s="93">
        <f>6780/11284*P423</f>
        <v>2011199.5881817432</v>
      </c>
      <c r="Q424" s="93">
        <f>6780/11284*Q423</f>
        <v>14761100.673520027</v>
      </c>
      <c r="R424" s="155">
        <v>2867</v>
      </c>
      <c r="S424" s="122">
        <v>0.105</v>
      </c>
      <c r="T424" s="122">
        <v>0.22800000000000001</v>
      </c>
      <c r="U424" s="122">
        <v>0.28100000000000003</v>
      </c>
      <c r="V424" s="122" t="s">
        <v>545</v>
      </c>
      <c r="W424" s="93">
        <f>6780/11284*W423</f>
        <v>603494505.49450541</v>
      </c>
      <c r="X424" s="93">
        <f>6780/11284*X423</f>
        <v>73393920.59553349</v>
      </c>
      <c r="Y424" s="93">
        <f>6780/11284*Y423</f>
        <v>86011786.600496277</v>
      </c>
      <c r="Z424" s="108">
        <f>S424/100*W424</f>
        <v>633669.23076923063</v>
      </c>
      <c r="AA424" s="108">
        <f>SUM(T424/100*X424,U424/100*Y424)</f>
        <v>409031.2593052109</v>
      </c>
      <c r="AB424" s="108">
        <f>(0.179/100)*SUM(W424,X424,Y424)</f>
        <v>1365591.380716058</v>
      </c>
      <c r="AC424" s="108">
        <f>SUM(AB424,-Z424,-AA424)</f>
        <v>322890.89064161642</v>
      </c>
    </row>
    <row r="425" spans="1:29" x14ac:dyDescent="0.2">
      <c r="A425" s="125" t="s">
        <v>744</v>
      </c>
      <c r="B425" s="99">
        <f>SUM(G425,-F425)/(F425*9)</f>
        <v>8.2065583095738553E-3</v>
      </c>
      <c r="C425" t="s">
        <v>621</v>
      </c>
      <c r="D425" s="99">
        <f>SUM(H425,-J425)/(H425*2)</f>
        <v>2.7795763574137454E-2</v>
      </c>
      <c r="E425" s="123">
        <v>469990000</v>
      </c>
      <c r="F425" s="219">
        <v>144153</v>
      </c>
      <c r="G425" s="93">
        <v>154800</v>
      </c>
      <c r="H425" s="93">
        <v>10811</v>
      </c>
      <c r="I425" s="93">
        <v>25950</v>
      </c>
      <c r="J425" s="93">
        <v>10210</v>
      </c>
      <c r="K425" s="108">
        <f>(F425*138.66)*SUM(1,Macrogegevens!$C$4,0.5*Macrogegevens!$C$6,Macrogegevens!$C$8)</f>
        <v>20402011.858086005</v>
      </c>
      <c r="L425" s="108">
        <f>IF(AC425&gt;0,AC425,0)</f>
        <v>5445086.9999999963</v>
      </c>
      <c r="M425" s="108">
        <v>31726161.229898013</v>
      </c>
      <c r="N425" s="108">
        <v>16803384.638743356</v>
      </c>
      <c r="O425" s="108">
        <v>15502761.089788439</v>
      </c>
      <c r="P425" s="108">
        <f>SUM(M425,N425,O425)</f>
        <v>64032306.958429806</v>
      </c>
      <c r="Q425" s="108">
        <v>478283000</v>
      </c>
      <c r="R425" s="155">
        <v>1497.7042698432026</v>
      </c>
      <c r="S425" s="122">
        <v>0.1002</v>
      </c>
      <c r="T425" s="122">
        <v>0.2586</v>
      </c>
      <c r="U425" s="122">
        <v>0.20710000000000001</v>
      </c>
      <c r="V425" s="122" t="s">
        <v>744</v>
      </c>
      <c r="W425" s="108">
        <v>11409600000</v>
      </c>
      <c r="X425" s="108">
        <v>3267250000</v>
      </c>
      <c r="Y425" s="108">
        <v>3362800000</v>
      </c>
      <c r="Z425" s="108">
        <f>S425/100*W425</f>
        <v>11432419.200000001</v>
      </c>
      <c r="AA425" s="108">
        <f>SUM(T425/100*X425,U425/100*Y425)</f>
        <v>15413467.300000001</v>
      </c>
      <c r="AB425" s="108">
        <f>(0.179/100)*SUM(W425,X425,Y425)</f>
        <v>32290973.5</v>
      </c>
      <c r="AC425" s="108">
        <f>SUM(AB425,-Z425,-AA425)</f>
        <v>5445086.9999999963</v>
      </c>
    </row>
    <row r="426" spans="1:29" x14ac:dyDescent="0.2">
      <c r="A426" s="125" t="s">
        <v>744</v>
      </c>
      <c r="B426" s="99">
        <f>SUM(G426,-F426)/(F426*9)</f>
        <v>7.4886242814933652E-3</v>
      </c>
      <c r="C426" t="s">
        <v>621</v>
      </c>
      <c r="D426" s="99">
        <f>SUM(H426,-J426)/(H426*2)</f>
        <v>2.8142824458345185E-2</v>
      </c>
      <c r="E426" s="234">
        <f t="shared" ref="E426:J426" si="72">SUM(E424:E425)</f>
        <v>484944574.61892945</v>
      </c>
      <c r="F426" s="108">
        <f t="shared" si="72"/>
        <v>150992.48422545198</v>
      </c>
      <c r="G426" s="108">
        <f t="shared" si="72"/>
        <v>161169.01807869549</v>
      </c>
      <c r="H426" s="108">
        <f t="shared" si="72"/>
        <v>11414.25416518965</v>
      </c>
      <c r="I426" s="108">
        <f t="shared" si="72"/>
        <v>27277.880184331796</v>
      </c>
      <c r="J426" s="108">
        <f t="shared" si="72"/>
        <v>10771.795462601915</v>
      </c>
      <c r="K426" s="108">
        <f>(F426*138.66)*SUM(1,Macrogegevens!$C$4,0.5*Macrogegevens!$C$6,Macrogegevens!$C$8)</f>
        <v>21370005.852459088</v>
      </c>
      <c r="L426" s="108">
        <f>IF(AC426&gt;0,AC426,0)</f>
        <v>5852162.2226160914</v>
      </c>
      <c r="M426" s="108">
        <f>SUM(M424:M425)</f>
        <v>33197475.803454466</v>
      </c>
      <c r="N426" s="108">
        <f>SUM(N424:N425)</f>
        <v>17343269.653368644</v>
      </c>
      <c r="O426" s="108">
        <f>SUM(O424:O425)</f>
        <v>15502761.089788439</v>
      </c>
      <c r="P426" s="108">
        <f>SUM(M426,N426,O426)</f>
        <v>66043506.546611547</v>
      </c>
      <c r="Q426" s="108">
        <f>SUM(Q424:Q425)</f>
        <v>493044100.67352003</v>
      </c>
      <c r="R426" s="155">
        <v>1560</v>
      </c>
      <c r="S426" s="122">
        <v>0.1</v>
      </c>
      <c r="T426" s="122">
        <v>0.25900000000000001</v>
      </c>
      <c r="U426" s="122">
        <v>0.20699999999999999</v>
      </c>
      <c r="V426" s="122" t="s">
        <v>744</v>
      </c>
      <c r="W426" s="108">
        <f>SUM(W424:W425)</f>
        <v>12013094505.494505</v>
      </c>
      <c r="X426" s="108">
        <f>SUM(X424:X425)</f>
        <v>3340643920.5955334</v>
      </c>
      <c r="Y426" s="108">
        <f>SUM(Y424:Y425)</f>
        <v>3448811786.6004963</v>
      </c>
      <c r="Z426" s="108">
        <f>S426/100*W426</f>
        <v>12013094.505494505</v>
      </c>
      <c r="AA426" s="108">
        <f>SUM(T426/100*X426,U426/100*Y426)</f>
        <v>15791308.152605459</v>
      </c>
      <c r="AB426" s="108">
        <f>(0.179/100)*SUM(W426,X426,Y426)</f>
        <v>33656564.880716056</v>
      </c>
      <c r="AC426" s="108">
        <f>SUM(AB426,-Z426,-AA426)</f>
        <v>5852162.2226160914</v>
      </c>
    </row>
    <row r="427" spans="1:29" x14ac:dyDescent="0.2">
      <c r="Q427" s="108"/>
      <c r="R427" s="157"/>
      <c r="V427" s="122"/>
      <c r="AC427" s="108"/>
    </row>
    <row r="428" spans="1:29" x14ac:dyDescent="0.2">
      <c r="Q428" s="108"/>
      <c r="R428" s="157"/>
      <c r="V428" s="122"/>
      <c r="AC428" s="108"/>
    </row>
    <row r="429" spans="1:29" x14ac:dyDescent="0.2">
      <c r="Q429" s="108"/>
      <c r="R429" s="155"/>
      <c r="V429" s="122"/>
      <c r="AC429" s="108"/>
    </row>
    <row r="430" spans="1:29" x14ac:dyDescent="0.2">
      <c r="Q430" s="108"/>
      <c r="R430" s="155"/>
      <c r="V430" s="122"/>
      <c r="AC430" s="108"/>
    </row>
    <row r="431" spans="1:29" x14ac:dyDescent="0.2">
      <c r="Q431" s="108"/>
      <c r="R431" s="155"/>
      <c r="V431" s="122"/>
      <c r="AC431" s="108"/>
    </row>
    <row r="432" spans="1:29" x14ac:dyDescent="0.2">
      <c r="Q432" s="108"/>
      <c r="R432" s="155"/>
      <c r="V432" s="122"/>
      <c r="AC432" s="108"/>
    </row>
    <row r="433" spans="17:29" x14ac:dyDescent="0.2">
      <c r="Q433" s="108"/>
      <c r="R433" s="157"/>
      <c r="V433" s="122"/>
      <c r="AC433" s="108"/>
    </row>
    <row r="434" spans="17:29" x14ac:dyDescent="0.2">
      <c r="Q434" s="108"/>
      <c r="R434" s="155"/>
      <c r="V434" s="122"/>
      <c r="AC434" s="108"/>
    </row>
    <row r="435" spans="17:29" x14ac:dyDescent="0.2">
      <c r="Q435" s="108"/>
      <c r="R435" s="155"/>
      <c r="V435" s="122"/>
      <c r="AC435" s="108"/>
    </row>
    <row r="436" spans="17:29" x14ac:dyDescent="0.2">
      <c r="Q436" s="108"/>
      <c r="R436" s="155"/>
      <c r="V436" s="122"/>
      <c r="AC436" s="108"/>
    </row>
    <row r="437" spans="17:29" x14ac:dyDescent="0.2">
      <c r="Q437" s="108"/>
      <c r="R437" s="155"/>
      <c r="V437" s="122"/>
      <c r="AC437" s="108"/>
    </row>
    <row r="438" spans="17:29" x14ac:dyDescent="0.2">
      <c r="Q438" s="108"/>
      <c r="R438" s="157"/>
      <c r="V438" s="122"/>
      <c r="AC438" s="108"/>
    </row>
    <row r="439" spans="17:29" x14ac:dyDescent="0.2">
      <c r="Q439" s="108"/>
      <c r="R439" s="155"/>
      <c r="V439" s="122"/>
      <c r="AC439" s="108"/>
    </row>
    <row r="440" spans="17:29" x14ac:dyDescent="0.2">
      <c r="Q440" s="108"/>
      <c r="R440" s="155"/>
      <c r="V440" s="122"/>
      <c r="AC440" s="108"/>
    </row>
    <row r="441" spans="17:29" x14ac:dyDescent="0.2">
      <c r="Q441" s="108"/>
      <c r="R441" s="155"/>
      <c r="V441" s="122"/>
      <c r="AC441" s="108"/>
    </row>
    <row r="442" spans="17:29" x14ac:dyDescent="0.2">
      <c r="Q442" s="108"/>
      <c r="R442" s="155"/>
      <c r="V442" s="122"/>
      <c r="AC442" s="108"/>
    </row>
    <row r="443" spans="17:29" x14ac:dyDescent="0.2">
      <c r="Q443" s="108"/>
      <c r="R443" s="162"/>
      <c r="V443" s="122"/>
      <c r="AC443" s="108"/>
    </row>
    <row r="444" spans="17:29" x14ac:dyDescent="0.2">
      <c r="Q444" s="108"/>
      <c r="R444" s="155"/>
      <c r="V444" s="122"/>
      <c r="AC444" s="108"/>
    </row>
    <row r="445" spans="17:29" x14ac:dyDescent="0.2">
      <c r="Q445" s="108"/>
      <c r="R445" s="155"/>
      <c r="V445" s="122"/>
      <c r="AC445" s="108"/>
    </row>
    <row r="446" spans="17:29" x14ac:dyDescent="0.2">
      <c r="Q446" s="108"/>
      <c r="R446" s="155"/>
      <c r="V446" s="122"/>
      <c r="AC446" s="108"/>
    </row>
    <row r="447" spans="17:29" x14ac:dyDescent="0.2">
      <c r="Q447" s="108"/>
      <c r="R447" s="155"/>
      <c r="V447" s="122"/>
      <c r="AC447" s="108"/>
    </row>
    <row r="448" spans="17:29" x14ac:dyDescent="0.2">
      <c r="Q448" s="108"/>
      <c r="R448" s="155"/>
      <c r="V448" s="122"/>
      <c r="AC448" s="108"/>
    </row>
    <row r="449" spans="17:29" x14ac:dyDescent="0.2">
      <c r="Q449" s="108"/>
      <c r="R449" s="162"/>
      <c r="V449" s="122"/>
      <c r="AC449" s="108"/>
    </row>
    <row r="450" spans="17:29" x14ac:dyDescent="0.2">
      <c r="Q450" s="108"/>
      <c r="R450" s="155"/>
      <c r="V450" s="122"/>
      <c r="AC450" s="108"/>
    </row>
    <row r="451" spans="17:29" x14ac:dyDescent="0.2">
      <c r="Q451" s="108"/>
      <c r="R451" s="155"/>
      <c r="V451" s="122"/>
      <c r="AC451" s="108"/>
    </row>
    <row r="452" spans="17:29" x14ac:dyDescent="0.2">
      <c r="Q452" s="108"/>
      <c r="R452" s="155"/>
      <c r="V452" s="122"/>
      <c r="AC452" s="108"/>
    </row>
    <row r="453" spans="17:29" x14ac:dyDescent="0.2">
      <c r="Q453" s="108"/>
      <c r="R453" s="155"/>
      <c r="V453" s="122"/>
      <c r="AC453" s="108"/>
    </row>
    <row r="454" spans="17:29" x14ac:dyDescent="0.2">
      <c r="Q454" s="108"/>
      <c r="R454" s="162"/>
      <c r="V454" s="122"/>
      <c r="AC454" s="108"/>
    </row>
    <row r="455" spans="17:29" x14ac:dyDescent="0.2">
      <c r="Q455" s="108"/>
      <c r="R455" s="155"/>
      <c r="V455" s="122"/>
      <c r="AC455" s="108"/>
    </row>
    <row r="456" spans="17:29" x14ac:dyDescent="0.2">
      <c r="Q456" s="108"/>
      <c r="R456" s="155"/>
      <c r="V456" s="122"/>
      <c r="AC456" s="108"/>
    </row>
    <row r="457" spans="17:29" x14ac:dyDescent="0.2">
      <c r="Q457" s="108"/>
      <c r="R457" s="155"/>
      <c r="V457" s="122"/>
      <c r="AC457" s="108"/>
    </row>
    <row r="458" spans="17:29" x14ac:dyDescent="0.2">
      <c r="Q458" s="108"/>
      <c r="R458" s="162"/>
      <c r="V458" s="122"/>
      <c r="AC458" s="108"/>
    </row>
    <row r="459" spans="17:29" x14ac:dyDescent="0.2">
      <c r="Q459" s="108"/>
      <c r="R459" s="155"/>
      <c r="V459" s="122"/>
      <c r="AC459" s="108"/>
    </row>
    <row r="460" spans="17:29" x14ac:dyDescent="0.2">
      <c r="Q460" s="108"/>
      <c r="R460" s="155"/>
      <c r="V460" s="122"/>
      <c r="AC460" s="108"/>
    </row>
    <row r="461" spans="17:29" x14ac:dyDescent="0.2">
      <c r="Q461" s="108"/>
      <c r="R461" s="156"/>
      <c r="V461" s="122"/>
      <c r="AC461" s="108"/>
    </row>
    <row r="462" spans="17:29" x14ac:dyDescent="0.2">
      <c r="Q462" s="108"/>
      <c r="R462" s="155"/>
      <c r="V462" s="122"/>
      <c r="AC462" s="108"/>
    </row>
    <row r="463" spans="17:29" x14ac:dyDescent="0.2">
      <c r="Q463" s="108"/>
      <c r="R463" s="162"/>
      <c r="V463" s="122"/>
      <c r="AC463" s="108"/>
    </row>
    <row r="464" spans="17:29" x14ac:dyDescent="0.2">
      <c r="Q464" s="108"/>
      <c r="R464" s="156"/>
      <c r="V464" s="122"/>
      <c r="AC464" s="108"/>
    </row>
    <row r="465" spans="17:29" x14ac:dyDescent="0.2">
      <c r="Q465" s="108"/>
      <c r="R465" s="156"/>
      <c r="V465" s="122"/>
      <c r="AC465" s="108"/>
    </row>
    <row r="466" spans="17:29" x14ac:dyDescent="0.2">
      <c r="Q466" s="108"/>
      <c r="R466" s="155">
        <v>4149.8226541987196</v>
      </c>
      <c r="V466" s="122"/>
      <c r="AC466" s="108"/>
    </row>
    <row r="467" spans="17:29" x14ac:dyDescent="0.2">
      <c r="Q467" s="108"/>
      <c r="R467" s="162" t="e">
        <f>AF467/#REF!</f>
        <v>#REF!</v>
      </c>
      <c r="V467" s="122"/>
      <c r="AC467" s="108"/>
    </row>
    <row r="468" spans="17:29" x14ac:dyDescent="0.2">
      <c r="Q468" s="108"/>
      <c r="R468" s="156"/>
      <c r="V468" s="122"/>
      <c r="AC468" s="108"/>
    </row>
    <row r="469" spans="17:29" x14ac:dyDescent="0.2">
      <c r="Q469" s="108"/>
      <c r="R469" s="156"/>
      <c r="V469" s="122"/>
      <c r="AC469" s="108"/>
    </row>
    <row r="470" spans="17:29" x14ac:dyDescent="0.2">
      <c r="Q470" s="108"/>
      <c r="R470" s="155">
        <v>672.34208727911744</v>
      </c>
      <c r="V470" s="122"/>
      <c r="AC470" s="108"/>
    </row>
    <row r="471" spans="17:29" x14ac:dyDescent="0.2">
      <c r="Q471" s="108"/>
      <c r="R471" s="162" t="e">
        <f>AF471/#REF!</f>
        <v>#REF!</v>
      </c>
      <c r="V471" s="122"/>
      <c r="AC471" s="108"/>
    </row>
    <row r="472" spans="17:29" x14ac:dyDescent="0.2">
      <c r="Q472" s="108"/>
      <c r="R472" s="156"/>
      <c r="V472" s="122"/>
      <c r="AC472" s="108"/>
    </row>
    <row r="473" spans="17:29" x14ac:dyDescent="0.2">
      <c r="Q473" s="108"/>
      <c r="R473" s="156"/>
      <c r="V473" s="122"/>
      <c r="AC473" s="108"/>
    </row>
    <row r="474" spans="17:29" x14ac:dyDescent="0.2">
      <c r="Q474" s="108"/>
      <c r="R474" s="155">
        <v>1734.8206686930091</v>
      </c>
      <c r="V474" s="122"/>
      <c r="AC474" s="108"/>
    </row>
    <row r="475" spans="17:29" x14ac:dyDescent="0.2">
      <c r="Q475" s="108"/>
      <c r="R475" s="162" t="e">
        <f>AF475/#REF!</f>
        <v>#REF!</v>
      </c>
      <c r="V475" s="122"/>
      <c r="AC475" s="108"/>
    </row>
  </sheetData>
  <sheetProtection password="ABC0" sheet="1" objects="1" scenarios="1" selectLockedCells="1" selectUnlockedCells="1"/>
  <sortState ref="X2:AA416">
    <sortCondition ref="X2:X416"/>
  </sortState>
  <pageMargins left="0.7" right="0.7" top="0.75" bottom="0.75" header="0.3" footer="0.3"/>
  <pageSetup paperSize="9" orientation="portrait" verticalDpi="4294967293"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43"/>
  <sheetViews>
    <sheetView topLeftCell="G28" workbookViewId="0">
      <selection activeCell="N71" sqref="N71"/>
    </sheetView>
  </sheetViews>
  <sheetFormatPr defaultColWidth="9.140625" defaultRowHeight="11.25" x14ac:dyDescent="0.2"/>
  <cols>
    <col min="1" max="1" width="28.85546875" style="160" bestFit="1" customWidth="1"/>
    <col min="2" max="2" width="19.140625" style="160" bestFit="1" customWidth="1"/>
    <col min="3" max="3" width="21" style="160" bestFit="1" customWidth="1"/>
    <col min="4" max="4" width="19.140625" style="160" bestFit="1" customWidth="1"/>
    <col min="5" max="5" width="20.140625" style="160" bestFit="1" customWidth="1"/>
    <col min="6" max="6" width="19.140625" style="160" bestFit="1" customWidth="1"/>
    <col min="7" max="7" width="20.140625" style="160" bestFit="1" customWidth="1"/>
    <col min="8" max="8" width="21.28515625" style="160" bestFit="1" customWidth="1"/>
    <col min="9" max="11" width="20.140625" style="160" customWidth="1"/>
    <col min="12" max="12" width="22.42578125" style="160" bestFit="1" customWidth="1"/>
    <col min="13" max="13" width="23.42578125" style="160" bestFit="1" customWidth="1"/>
    <col min="14" max="14" width="15.140625" style="160" bestFit="1" customWidth="1"/>
    <col min="15" max="15" width="19.5703125" style="160" bestFit="1" customWidth="1"/>
    <col min="16" max="16" width="16.85546875" style="160" bestFit="1" customWidth="1"/>
    <col min="17" max="17" width="15.5703125" style="160" bestFit="1" customWidth="1"/>
    <col min="18" max="18" width="11" style="160" bestFit="1" customWidth="1"/>
    <col min="19" max="19" width="12.85546875" style="160" bestFit="1" customWidth="1"/>
    <col min="20" max="20" width="15.5703125" style="160" bestFit="1" customWidth="1"/>
    <col min="21" max="21" width="14.7109375" style="160" bestFit="1" customWidth="1"/>
    <col min="22" max="22" width="25.5703125" style="160" bestFit="1" customWidth="1"/>
    <col min="23" max="23" width="22.85546875" style="160" bestFit="1" customWidth="1"/>
    <col min="24" max="24" width="15.5703125" style="160" bestFit="1" customWidth="1"/>
    <col min="25" max="25" width="14.42578125" style="160" bestFit="1" customWidth="1"/>
    <col min="26" max="28" width="9.140625" style="160"/>
    <col min="29" max="29" width="21.42578125" style="160" bestFit="1" customWidth="1"/>
    <col min="30" max="16384" width="9.140625" style="160"/>
  </cols>
  <sheetData>
    <row r="1" spans="1:13" x14ac:dyDescent="0.2">
      <c r="A1" s="160" t="s">
        <v>627</v>
      </c>
      <c r="B1" s="160" t="s">
        <v>749</v>
      </c>
      <c r="C1" s="160" t="s">
        <v>750</v>
      </c>
      <c r="D1" s="160" t="s">
        <v>751</v>
      </c>
      <c r="E1" s="160" t="s">
        <v>752</v>
      </c>
      <c r="F1" s="160" t="s">
        <v>753</v>
      </c>
      <c r="G1" s="160" t="s">
        <v>754</v>
      </c>
      <c r="H1" s="160" t="s">
        <v>755</v>
      </c>
      <c r="I1" s="160" t="s">
        <v>756</v>
      </c>
      <c r="J1" s="160" t="s">
        <v>757</v>
      </c>
      <c r="K1" s="160" t="s">
        <v>758</v>
      </c>
      <c r="L1" s="160" t="s">
        <v>759</v>
      </c>
      <c r="M1" s="160" t="s">
        <v>760</v>
      </c>
    </row>
    <row r="2" spans="1:13" x14ac:dyDescent="0.2">
      <c r="A2" s="160" t="s">
        <v>216</v>
      </c>
      <c r="B2" s="160">
        <v>7057</v>
      </c>
      <c r="C2" s="160">
        <v>5609</v>
      </c>
      <c r="D2" s="160">
        <v>1879</v>
      </c>
      <c r="E2" s="160">
        <v>1330</v>
      </c>
      <c r="F2" s="160">
        <v>1826</v>
      </c>
      <c r="G2" s="160">
        <v>1563</v>
      </c>
      <c r="H2" s="160">
        <v>836</v>
      </c>
      <c r="I2" s="160">
        <v>3010</v>
      </c>
      <c r="J2" s="160">
        <v>6088</v>
      </c>
      <c r="K2" s="160">
        <v>6121</v>
      </c>
      <c r="L2" s="160">
        <f>SUM(B2,D2,F2,H2,J2)/5</f>
        <v>3537.2</v>
      </c>
      <c r="M2" s="160">
        <f>SUM(C2,E2,G2,I2,K2)/5</f>
        <v>3526.6</v>
      </c>
    </row>
    <row r="3" spans="1:13" x14ac:dyDescent="0.2">
      <c r="A3" s="160" t="s">
        <v>509</v>
      </c>
      <c r="B3" s="160">
        <v>157</v>
      </c>
      <c r="C3" s="160">
        <v>-18</v>
      </c>
      <c r="D3" s="160">
        <v>1661</v>
      </c>
      <c r="E3" s="160">
        <v>1571</v>
      </c>
      <c r="F3" s="160">
        <v>2988</v>
      </c>
      <c r="G3" s="160">
        <v>3067</v>
      </c>
      <c r="H3" s="160">
        <v>2533</v>
      </c>
      <c r="I3" s="160">
        <v>2632</v>
      </c>
      <c r="J3" s="160">
        <v>651</v>
      </c>
      <c r="K3" s="160">
        <v>651</v>
      </c>
      <c r="L3" s="160">
        <f t="shared" ref="L3:L64" si="0">SUM(B3,D3,F3,H3,J3)/5</f>
        <v>1598</v>
      </c>
      <c r="M3" s="160">
        <f t="shared" ref="M3:M64" si="1">SUM(C3,E3,G3,I3,K3)/5</f>
        <v>1580.6</v>
      </c>
    </row>
    <row r="4" spans="1:13" x14ac:dyDescent="0.2">
      <c r="A4" s="160" t="s">
        <v>380</v>
      </c>
      <c r="B4" s="160">
        <v>11667</v>
      </c>
      <c r="C4" s="160">
        <v>12579</v>
      </c>
      <c r="D4" s="160">
        <v>20691</v>
      </c>
      <c r="E4" s="160">
        <v>24236</v>
      </c>
      <c r="F4" s="160">
        <v>8687</v>
      </c>
      <c r="G4" s="160">
        <v>12064</v>
      </c>
      <c r="H4" s="160">
        <v>15410</v>
      </c>
      <c r="I4" s="160">
        <v>18059</v>
      </c>
      <c r="J4" s="160">
        <v>5598</v>
      </c>
      <c r="K4" s="160">
        <v>6385</v>
      </c>
      <c r="L4" s="160">
        <f t="shared" si="0"/>
        <v>12410.6</v>
      </c>
      <c r="M4" s="160">
        <f t="shared" si="1"/>
        <v>14664.6</v>
      </c>
    </row>
    <row r="5" spans="1:13" x14ac:dyDescent="0.2">
      <c r="A5" s="160" t="s">
        <v>298</v>
      </c>
      <c r="B5" s="160">
        <v>3760</v>
      </c>
      <c r="C5" s="160">
        <v>5019</v>
      </c>
      <c r="D5" s="160">
        <v>3876</v>
      </c>
      <c r="E5" s="160">
        <v>3238</v>
      </c>
      <c r="F5" s="160">
        <v>4575</v>
      </c>
      <c r="G5" s="160">
        <v>5650</v>
      </c>
      <c r="H5" s="160">
        <v>4863</v>
      </c>
      <c r="I5" s="160">
        <v>6053</v>
      </c>
      <c r="J5" s="160">
        <v>1638</v>
      </c>
      <c r="K5" s="160">
        <v>1637</v>
      </c>
      <c r="L5" s="160">
        <f t="shared" si="0"/>
        <v>3742.4</v>
      </c>
      <c r="M5" s="160">
        <f t="shared" si="1"/>
        <v>4319.3999999999996</v>
      </c>
    </row>
    <row r="6" spans="1:13" x14ac:dyDescent="0.2">
      <c r="A6" s="160" t="s">
        <v>252</v>
      </c>
      <c r="B6" s="160">
        <v>3584</v>
      </c>
      <c r="C6" s="160">
        <v>2976</v>
      </c>
      <c r="D6" s="160">
        <v>3103</v>
      </c>
      <c r="E6" s="160">
        <v>3970</v>
      </c>
      <c r="F6" s="160">
        <v>7337</v>
      </c>
      <c r="G6" s="160">
        <v>6059</v>
      </c>
      <c r="H6" s="160">
        <v>2801</v>
      </c>
      <c r="I6" s="160">
        <v>2857</v>
      </c>
      <c r="J6" s="160">
        <v>1114</v>
      </c>
      <c r="K6" s="160">
        <v>579</v>
      </c>
      <c r="L6" s="160">
        <f t="shared" si="0"/>
        <v>3587.8</v>
      </c>
      <c r="M6" s="160">
        <f t="shared" si="1"/>
        <v>3288.2</v>
      </c>
    </row>
    <row r="7" spans="1:13" x14ac:dyDescent="0.2">
      <c r="A7" s="160" t="s">
        <v>432</v>
      </c>
      <c r="B7" s="160">
        <v>3904</v>
      </c>
      <c r="C7" s="160">
        <v>1760</v>
      </c>
      <c r="D7" s="160">
        <v>11108</v>
      </c>
      <c r="E7" s="160">
        <v>10710</v>
      </c>
      <c r="F7" s="160">
        <v>7415</v>
      </c>
      <c r="G7" s="160">
        <v>8180</v>
      </c>
      <c r="H7" s="160">
        <v>2273</v>
      </c>
      <c r="I7" s="160">
        <v>3066</v>
      </c>
      <c r="J7" s="160">
        <v>10818</v>
      </c>
      <c r="K7" s="160">
        <v>10933</v>
      </c>
      <c r="L7" s="160">
        <f t="shared" si="0"/>
        <v>7103.6</v>
      </c>
      <c r="M7" s="160">
        <f t="shared" si="1"/>
        <v>6929.8</v>
      </c>
    </row>
    <row r="8" spans="1:13" x14ac:dyDescent="0.2">
      <c r="A8" s="160" t="s">
        <v>433</v>
      </c>
      <c r="B8" s="160">
        <v>5428</v>
      </c>
      <c r="C8" s="160">
        <v>7141</v>
      </c>
      <c r="D8" s="160">
        <v>6696</v>
      </c>
      <c r="E8" s="160">
        <v>7027</v>
      </c>
      <c r="F8" s="160">
        <v>5125</v>
      </c>
      <c r="G8" s="160">
        <v>4974</v>
      </c>
      <c r="H8" s="160">
        <v>7786</v>
      </c>
      <c r="I8" s="160">
        <v>9705</v>
      </c>
      <c r="J8" s="160">
        <v>3139</v>
      </c>
      <c r="K8" s="160">
        <v>3835</v>
      </c>
      <c r="L8" s="160">
        <f t="shared" si="0"/>
        <v>5634.8</v>
      </c>
      <c r="M8" s="160">
        <f t="shared" si="1"/>
        <v>6536.4</v>
      </c>
    </row>
    <row r="9" spans="1:13" x14ac:dyDescent="0.2">
      <c r="A9" s="160" t="s">
        <v>381</v>
      </c>
      <c r="B9" s="160">
        <v>25603</v>
      </c>
      <c r="C9" s="160">
        <v>32919</v>
      </c>
      <c r="D9" s="160">
        <v>52511</v>
      </c>
      <c r="E9" s="160">
        <v>52625</v>
      </c>
      <c r="F9" s="160">
        <v>51641</v>
      </c>
      <c r="G9" s="160">
        <v>52240</v>
      </c>
      <c r="H9" s="160">
        <v>43740</v>
      </c>
      <c r="I9" s="160">
        <v>44282</v>
      </c>
      <c r="J9" s="160">
        <v>59558</v>
      </c>
      <c r="K9" s="160">
        <v>59862</v>
      </c>
      <c r="L9" s="160">
        <v>46610.6</v>
      </c>
      <c r="M9" s="160">
        <v>48385.599999999999</v>
      </c>
    </row>
    <row r="10" spans="1:13" x14ac:dyDescent="0.2">
      <c r="A10" s="160" t="s">
        <v>274</v>
      </c>
      <c r="B10" s="160">
        <v>30083</v>
      </c>
      <c r="C10" s="160">
        <v>22578</v>
      </c>
      <c r="D10" s="160">
        <v>61429</v>
      </c>
      <c r="E10" s="160">
        <v>116258</v>
      </c>
      <c r="F10" s="160">
        <v>55271</v>
      </c>
      <c r="G10" s="160">
        <v>54625</v>
      </c>
      <c r="H10" s="160">
        <v>55150</v>
      </c>
      <c r="I10" s="160">
        <v>60563</v>
      </c>
      <c r="J10" s="160">
        <v>46062</v>
      </c>
      <c r="K10" s="160">
        <v>45948</v>
      </c>
      <c r="L10" s="160">
        <f t="shared" si="0"/>
        <v>49599</v>
      </c>
      <c r="M10" s="160">
        <f t="shared" si="1"/>
        <v>59994.400000000001</v>
      </c>
    </row>
    <row r="11" spans="1:13" x14ac:dyDescent="0.2">
      <c r="A11" s="160" t="s">
        <v>606</v>
      </c>
      <c r="B11" s="160">
        <v>108287</v>
      </c>
      <c r="C11" s="160">
        <v>104672</v>
      </c>
      <c r="D11" s="160">
        <v>178453</v>
      </c>
      <c r="E11" s="160">
        <v>144319</v>
      </c>
      <c r="F11" s="160">
        <v>134032</v>
      </c>
      <c r="G11" s="160">
        <v>159886</v>
      </c>
      <c r="H11" s="160">
        <v>103524</v>
      </c>
      <c r="I11" s="160">
        <v>110536</v>
      </c>
      <c r="J11" s="160">
        <v>85000</v>
      </c>
      <c r="K11" s="160">
        <v>87452</v>
      </c>
      <c r="L11" s="160">
        <f t="shared" si="0"/>
        <v>121859.2</v>
      </c>
      <c r="M11" s="160">
        <f t="shared" si="1"/>
        <v>121373</v>
      </c>
    </row>
    <row r="12" spans="1:13" x14ac:dyDescent="0.2">
      <c r="A12" s="160" t="s">
        <v>434</v>
      </c>
      <c r="B12" s="160">
        <v>53214</v>
      </c>
      <c r="C12" s="160">
        <v>63505</v>
      </c>
      <c r="D12" s="160">
        <v>46371</v>
      </c>
      <c r="E12" s="160">
        <v>51651</v>
      </c>
      <c r="F12" s="160">
        <v>48615</v>
      </c>
      <c r="G12" s="160">
        <v>62658</v>
      </c>
      <c r="H12" s="160">
        <v>36477</v>
      </c>
      <c r="I12" s="160">
        <v>67936</v>
      </c>
      <c r="J12" s="160">
        <v>48227</v>
      </c>
      <c r="K12" s="160">
        <v>53352</v>
      </c>
      <c r="L12" s="160">
        <f t="shared" si="0"/>
        <v>46580.800000000003</v>
      </c>
      <c r="M12" s="160">
        <f t="shared" si="1"/>
        <v>59820.4</v>
      </c>
    </row>
    <row r="13" spans="1:13" x14ac:dyDescent="0.2">
      <c r="A13" s="160" t="s">
        <v>510</v>
      </c>
      <c r="B13" s="160">
        <v>1450</v>
      </c>
      <c r="C13" s="160">
        <v>1767</v>
      </c>
      <c r="D13" s="160">
        <v>4558</v>
      </c>
      <c r="E13" s="160">
        <v>4792</v>
      </c>
      <c r="F13" s="160">
        <v>2880</v>
      </c>
      <c r="G13" s="160">
        <v>2674</v>
      </c>
      <c r="H13" s="160">
        <v>1641</v>
      </c>
      <c r="I13" s="160">
        <v>1409</v>
      </c>
      <c r="J13" s="160">
        <v>1235</v>
      </c>
      <c r="K13" s="160">
        <v>1056</v>
      </c>
      <c r="L13" s="160">
        <f t="shared" si="0"/>
        <v>2352.8000000000002</v>
      </c>
      <c r="M13" s="160">
        <f t="shared" si="1"/>
        <v>2339.6</v>
      </c>
    </row>
    <row r="14" spans="1:13" x14ac:dyDescent="0.2">
      <c r="A14" s="160" t="s">
        <v>253</v>
      </c>
      <c r="B14" s="160">
        <v>607</v>
      </c>
      <c r="C14" s="160">
        <v>608</v>
      </c>
      <c r="D14" s="160">
        <v>517</v>
      </c>
      <c r="E14" s="160">
        <v>580</v>
      </c>
      <c r="F14" s="160">
        <v>281</v>
      </c>
      <c r="G14" s="160">
        <v>281</v>
      </c>
      <c r="H14" s="160">
        <v>22</v>
      </c>
      <c r="I14" s="160">
        <v>22</v>
      </c>
      <c r="J14" s="160">
        <v>0</v>
      </c>
      <c r="K14" s="160">
        <v>0</v>
      </c>
      <c r="L14" s="160">
        <f t="shared" si="0"/>
        <v>285.39999999999998</v>
      </c>
      <c r="M14" s="160">
        <f t="shared" si="1"/>
        <v>298.2</v>
      </c>
    </row>
    <row r="15" spans="1:13" x14ac:dyDescent="0.2">
      <c r="A15" s="160" t="s">
        <v>354</v>
      </c>
      <c r="B15" s="160">
        <v>75003</v>
      </c>
      <c r="C15" s="160">
        <v>80674</v>
      </c>
      <c r="D15" s="160">
        <v>91094</v>
      </c>
      <c r="E15" s="160">
        <v>112404</v>
      </c>
      <c r="F15" s="160">
        <v>41199</v>
      </c>
      <c r="G15" s="160">
        <v>52917</v>
      </c>
      <c r="H15" s="160">
        <v>61019</v>
      </c>
      <c r="I15" s="160">
        <v>80693</v>
      </c>
      <c r="J15" s="160">
        <v>42885</v>
      </c>
      <c r="K15" s="160">
        <v>44854</v>
      </c>
      <c r="L15" s="160">
        <f t="shared" si="0"/>
        <v>62240</v>
      </c>
      <c r="M15" s="160">
        <f t="shared" si="1"/>
        <v>74308.399999999994</v>
      </c>
    </row>
    <row r="16" spans="1:13" x14ac:dyDescent="0.2">
      <c r="A16" s="160" t="s">
        <v>382</v>
      </c>
      <c r="B16" s="160">
        <v>21056</v>
      </c>
      <c r="C16" s="160">
        <v>16390</v>
      </c>
      <c r="D16" s="160">
        <v>63170</v>
      </c>
      <c r="E16" s="160">
        <v>62197</v>
      </c>
      <c r="F16" s="160">
        <v>37403</v>
      </c>
      <c r="G16" s="160">
        <v>38365</v>
      </c>
      <c r="H16" s="160">
        <v>21318</v>
      </c>
      <c r="I16" s="160">
        <v>18727</v>
      </c>
      <c r="J16" s="160">
        <v>19532</v>
      </c>
      <c r="K16" s="160">
        <v>19874</v>
      </c>
      <c r="L16" s="160">
        <f t="shared" si="0"/>
        <v>32495.8</v>
      </c>
      <c r="M16" s="160">
        <f t="shared" si="1"/>
        <v>31110.6</v>
      </c>
    </row>
    <row r="17" spans="1:13" x14ac:dyDescent="0.2">
      <c r="A17" s="160" t="s">
        <v>383</v>
      </c>
      <c r="B17" s="160">
        <v>966851</v>
      </c>
      <c r="C17" s="160">
        <v>935807</v>
      </c>
      <c r="D17" s="160">
        <v>793908</v>
      </c>
      <c r="E17" s="160">
        <v>682078</v>
      </c>
      <c r="F17" s="160">
        <v>971884</v>
      </c>
      <c r="G17" s="160">
        <v>1068193</v>
      </c>
      <c r="H17" s="160">
        <v>1019834</v>
      </c>
      <c r="I17" s="160">
        <v>595748</v>
      </c>
      <c r="J17" s="160">
        <v>502090</v>
      </c>
      <c r="K17" s="160">
        <v>379167</v>
      </c>
      <c r="L17" s="160">
        <f t="shared" si="0"/>
        <v>850913.4</v>
      </c>
      <c r="M17" s="160">
        <f t="shared" si="1"/>
        <v>732198.6</v>
      </c>
    </row>
    <row r="18" spans="1:13" x14ac:dyDescent="0.2">
      <c r="A18" s="160" t="s">
        <v>299</v>
      </c>
      <c r="B18" s="160">
        <v>58587</v>
      </c>
      <c r="C18" s="160">
        <v>106864</v>
      </c>
      <c r="D18" s="160">
        <v>38072</v>
      </c>
      <c r="E18" s="160">
        <v>163102</v>
      </c>
      <c r="F18" s="160">
        <v>76986</v>
      </c>
      <c r="G18" s="160">
        <v>45522</v>
      </c>
      <c r="H18" s="160">
        <v>33987</v>
      </c>
      <c r="I18" s="160">
        <v>49696</v>
      </c>
      <c r="J18" s="160">
        <v>50000</v>
      </c>
      <c r="K18" s="160">
        <v>50000</v>
      </c>
      <c r="L18" s="160">
        <f t="shared" si="0"/>
        <v>51526.400000000001</v>
      </c>
      <c r="M18" s="160">
        <f t="shared" si="1"/>
        <v>83036.800000000003</v>
      </c>
    </row>
    <row r="19" spans="1:13" x14ac:dyDescent="0.2">
      <c r="A19" s="160" t="s">
        <v>229</v>
      </c>
      <c r="B19" s="160">
        <v>2079</v>
      </c>
      <c r="C19" s="160">
        <v>3413</v>
      </c>
      <c r="D19" s="160">
        <v>1037</v>
      </c>
      <c r="E19" s="160">
        <v>3025</v>
      </c>
      <c r="F19" s="160">
        <v>1193</v>
      </c>
      <c r="G19" s="160">
        <v>1700</v>
      </c>
      <c r="H19" s="160">
        <v>696</v>
      </c>
      <c r="I19" s="160">
        <v>832</v>
      </c>
      <c r="J19" s="160">
        <v>112</v>
      </c>
      <c r="K19" s="160">
        <v>160</v>
      </c>
      <c r="L19" s="160">
        <f t="shared" si="0"/>
        <v>1023.4</v>
      </c>
      <c r="M19" s="160">
        <f t="shared" si="1"/>
        <v>1826</v>
      </c>
    </row>
    <row r="20" spans="1:13" x14ac:dyDescent="0.2">
      <c r="A20" s="160" t="s">
        <v>300</v>
      </c>
      <c r="B20" s="160">
        <v>200973</v>
      </c>
      <c r="C20" s="160">
        <v>213990</v>
      </c>
      <c r="D20" s="160">
        <v>80406</v>
      </c>
      <c r="E20" s="160">
        <v>100649</v>
      </c>
      <c r="F20" s="160">
        <v>86518</v>
      </c>
      <c r="G20" s="160">
        <v>99646</v>
      </c>
      <c r="H20" s="160">
        <v>67024</v>
      </c>
      <c r="I20" s="160">
        <v>77480</v>
      </c>
      <c r="J20" s="160">
        <v>57212</v>
      </c>
      <c r="K20" s="160">
        <v>54200</v>
      </c>
      <c r="L20" s="160">
        <f t="shared" si="0"/>
        <v>98426.6</v>
      </c>
      <c r="M20" s="160">
        <f t="shared" si="1"/>
        <v>109193</v>
      </c>
    </row>
    <row r="21" spans="1:13" x14ac:dyDescent="0.2">
      <c r="A21" s="160" t="s">
        <v>217</v>
      </c>
      <c r="B21" s="160">
        <v>16589</v>
      </c>
      <c r="C21" s="160">
        <v>19354</v>
      </c>
      <c r="D21" s="160">
        <v>11757</v>
      </c>
      <c r="E21" s="160">
        <v>17528</v>
      </c>
      <c r="F21" s="160">
        <v>6927</v>
      </c>
      <c r="G21" s="160">
        <v>15560</v>
      </c>
      <c r="H21" s="160">
        <v>5658</v>
      </c>
      <c r="I21" s="160">
        <v>16814</v>
      </c>
      <c r="J21" s="160">
        <v>5710</v>
      </c>
      <c r="K21" s="160">
        <v>5294</v>
      </c>
      <c r="L21" s="160">
        <f t="shared" si="0"/>
        <v>9328.2000000000007</v>
      </c>
      <c r="M21" s="160">
        <f t="shared" si="1"/>
        <v>14910</v>
      </c>
    </row>
    <row r="22" spans="1:13" x14ac:dyDescent="0.2">
      <c r="A22" s="160" t="s">
        <v>511</v>
      </c>
      <c r="B22" s="160">
        <v>3133</v>
      </c>
      <c r="C22" s="160">
        <v>2571</v>
      </c>
      <c r="D22" s="160">
        <v>2438</v>
      </c>
      <c r="E22" s="160">
        <v>3079</v>
      </c>
      <c r="F22" s="160">
        <v>6152</v>
      </c>
      <c r="G22" s="160">
        <v>5970</v>
      </c>
      <c r="H22" s="160">
        <v>798</v>
      </c>
      <c r="I22" s="160">
        <v>1002</v>
      </c>
      <c r="J22" s="160">
        <v>587</v>
      </c>
      <c r="K22" s="160">
        <v>870</v>
      </c>
      <c r="L22" s="160">
        <f t="shared" si="0"/>
        <v>2621.6</v>
      </c>
      <c r="M22" s="160">
        <f t="shared" si="1"/>
        <v>2698.4</v>
      </c>
    </row>
    <row r="23" spans="1:13" x14ac:dyDescent="0.2">
      <c r="A23" s="160" t="s">
        <v>512</v>
      </c>
      <c r="B23" s="160">
        <v>2666</v>
      </c>
      <c r="C23" s="160">
        <v>873</v>
      </c>
      <c r="D23" s="160">
        <v>395</v>
      </c>
      <c r="E23" s="160">
        <v>392</v>
      </c>
      <c r="F23" s="160">
        <v>597</v>
      </c>
      <c r="G23" s="160">
        <v>596</v>
      </c>
      <c r="H23" s="160">
        <v>835</v>
      </c>
      <c r="I23" s="160">
        <v>153</v>
      </c>
      <c r="J23" s="160">
        <v>215</v>
      </c>
      <c r="K23" s="160">
        <v>216</v>
      </c>
      <c r="L23" s="160">
        <f t="shared" si="0"/>
        <v>941.6</v>
      </c>
      <c r="M23" s="160">
        <f t="shared" si="1"/>
        <v>446</v>
      </c>
    </row>
    <row r="24" spans="1:13" x14ac:dyDescent="0.2">
      <c r="A24" s="160" t="s">
        <v>355</v>
      </c>
      <c r="B24" s="160">
        <v>18</v>
      </c>
      <c r="C24" s="160">
        <v>0</v>
      </c>
      <c r="D24" s="160">
        <v>1581</v>
      </c>
      <c r="E24" s="160">
        <v>2838</v>
      </c>
      <c r="F24" s="160">
        <v>17</v>
      </c>
      <c r="G24" s="160">
        <v>446</v>
      </c>
      <c r="H24" s="160">
        <v>0</v>
      </c>
      <c r="I24" s="160">
        <v>41</v>
      </c>
      <c r="J24" s="160">
        <v>0</v>
      </c>
      <c r="K24" s="160">
        <v>1</v>
      </c>
      <c r="L24" s="160">
        <f t="shared" si="0"/>
        <v>323.2</v>
      </c>
      <c r="M24" s="160">
        <f t="shared" si="1"/>
        <v>665.2</v>
      </c>
    </row>
    <row r="25" spans="1:13" x14ac:dyDescent="0.2">
      <c r="A25" s="160" t="s">
        <v>435</v>
      </c>
      <c r="B25" s="160">
        <v>25874</v>
      </c>
      <c r="C25" s="160">
        <v>18941</v>
      </c>
      <c r="D25" s="160">
        <v>12587</v>
      </c>
      <c r="E25" s="160">
        <v>11246</v>
      </c>
      <c r="F25" s="160">
        <v>10254</v>
      </c>
      <c r="G25" s="160">
        <v>12177</v>
      </c>
      <c r="H25" s="160">
        <v>13381</v>
      </c>
      <c r="I25" s="160">
        <v>10195</v>
      </c>
      <c r="J25" s="160">
        <v>968</v>
      </c>
      <c r="K25" s="160">
        <v>968</v>
      </c>
      <c r="L25" s="160">
        <f t="shared" si="0"/>
        <v>12612.8</v>
      </c>
      <c r="M25" s="160">
        <f t="shared" si="1"/>
        <v>10705.4</v>
      </c>
    </row>
    <row r="26" spans="1:13" x14ac:dyDescent="0.2">
      <c r="A26" s="160" t="s">
        <v>301</v>
      </c>
      <c r="B26" s="160">
        <v>25217</v>
      </c>
      <c r="C26" s="160">
        <v>26918</v>
      </c>
      <c r="D26" s="160">
        <v>18747</v>
      </c>
      <c r="E26" s="160">
        <v>17894</v>
      </c>
      <c r="F26" s="160">
        <v>33092</v>
      </c>
      <c r="G26" s="160">
        <v>65289</v>
      </c>
      <c r="H26" s="160">
        <v>40872</v>
      </c>
      <c r="I26" s="160">
        <v>40870</v>
      </c>
      <c r="J26" s="160">
        <v>0</v>
      </c>
      <c r="K26" s="160">
        <v>0</v>
      </c>
      <c r="L26" s="160">
        <f t="shared" si="0"/>
        <v>23585.599999999999</v>
      </c>
      <c r="M26" s="160">
        <f t="shared" si="1"/>
        <v>30194.2</v>
      </c>
    </row>
    <row r="27" spans="1:13" x14ac:dyDescent="0.2">
      <c r="A27" s="160" t="s">
        <v>230</v>
      </c>
      <c r="B27" s="160">
        <v>725</v>
      </c>
      <c r="C27" s="160">
        <v>515</v>
      </c>
      <c r="D27" s="160">
        <v>818</v>
      </c>
      <c r="E27" s="160">
        <v>1978</v>
      </c>
      <c r="F27" s="160">
        <v>326</v>
      </c>
      <c r="G27" s="160">
        <v>498</v>
      </c>
      <c r="H27" s="160">
        <v>324</v>
      </c>
      <c r="I27" s="160">
        <v>516</v>
      </c>
      <c r="J27" s="160">
        <v>-15</v>
      </c>
      <c r="K27" s="160">
        <v>141</v>
      </c>
      <c r="L27" s="160">
        <f t="shared" si="0"/>
        <v>435.6</v>
      </c>
      <c r="M27" s="160">
        <f t="shared" si="1"/>
        <v>729.6</v>
      </c>
    </row>
    <row r="28" spans="1:13" x14ac:dyDescent="0.2">
      <c r="A28" s="160" t="s">
        <v>574</v>
      </c>
      <c r="B28" s="160">
        <v>1518</v>
      </c>
      <c r="C28" s="160">
        <v>1635</v>
      </c>
      <c r="D28" s="160">
        <v>1399</v>
      </c>
      <c r="E28" s="160">
        <v>1507</v>
      </c>
      <c r="F28" s="160">
        <v>1111</v>
      </c>
      <c r="G28" s="160">
        <v>1394</v>
      </c>
      <c r="H28" s="160">
        <v>688</v>
      </c>
      <c r="I28" s="160">
        <v>1190</v>
      </c>
      <c r="J28" s="160">
        <v>503</v>
      </c>
      <c r="K28" s="160">
        <v>470</v>
      </c>
      <c r="L28" s="160">
        <f t="shared" si="0"/>
        <v>1043.8</v>
      </c>
      <c r="M28" s="160">
        <f t="shared" si="1"/>
        <v>1239.2</v>
      </c>
    </row>
    <row r="29" spans="1:13" x14ac:dyDescent="0.2">
      <c r="A29" s="160" t="s">
        <v>384</v>
      </c>
      <c r="B29" s="160">
        <v>11057</v>
      </c>
      <c r="C29" s="160">
        <v>12358</v>
      </c>
      <c r="D29" s="160">
        <v>27117</v>
      </c>
      <c r="E29" s="160">
        <v>23159</v>
      </c>
      <c r="F29" s="160">
        <v>9533</v>
      </c>
      <c r="G29" s="160">
        <v>8891</v>
      </c>
      <c r="H29" s="160">
        <v>6891</v>
      </c>
      <c r="I29" s="160">
        <v>6185</v>
      </c>
      <c r="J29" s="160">
        <v>1875</v>
      </c>
      <c r="K29" s="160">
        <v>1942</v>
      </c>
      <c r="L29" s="160">
        <f t="shared" si="0"/>
        <v>11294.6</v>
      </c>
      <c r="M29" s="160">
        <f t="shared" si="1"/>
        <v>10507</v>
      </c>
    </row>
    <row r="30" spans="1:13" x14ac:dyDescent="0.2">
      <c r="A30" s="160" t="s">
        <v>575</v>
      </c>
      <c r="B30" s="160">
        <v>461</v>
      </c>
      <c r="C30" s="160">
        <v>386</v>
      </c>
      <c r="D30" s="160">
        <v>490</v>
      </c>
      <c r="E30" s="160">
        <v>437</v>
      </c>
      <c r="F30" s="160">
        <v>659</v>
      </c>
      <c r="G30" s="160">
        <v>623</v>
      </c>
      <c r="H30" s="160">
        <v>3310</v>
      </c>
      <c r="I30" s="160">
        <v>3297</v>
      </c>
      <c r="J30" s="160">
        <v>10</v>
      </c>
      <c r="K30" s="160">
        <v>10</v>
      </c>
      <c r="L30" s="160">
        <f t="shared" si="0"/>
        <v>986</v>
      </c>
      <c r="M30" s="160">
        <f t="shared" si="1"/>
        <v>950.6</v>
      </c>
    </row>
    <row r="31" spans="1:13" x14ac:dyDescent="0.2">
      <c r="A31" s="160" t="s">
        <v>231</v>
      </c>
      <c r="B31" s="160">
        <v>0</v>
      </c>
      <c r="C31" s="160">
        <v>0</v>
      </c>
      <c r="D31" s="160">
        <v>104</v>
      </c>
      <c r="E31" s="160">
        <v>104</v>
      </c>
      <c r="F31" s="160">
        <v>0</v>
      </c>
      <c r="G31" s="160">
        <v>0</v>
      </c>
      <c r="H31" s="160">
        <v>0</v>
      </c>
      <c r="I31" s="160">
        <v>0</v>
      </c>
      <c r="J31" s="160">
        <v>0</v>
      </c>
      <c r="K31" s="160">
        <v>0</v>
      </c>
      <c r="L31" s="160">
        <f t="shared" si="0"/>
        <v>20.8</v>
      </c>
      <c r="M31" s="160">
        <f t="shared" si="1"/>
        <v>20.8</v>
      </c>
    </row>
    <row r="32" spans="1:13" x14ac:dyDescent="0.2">
      <c r="A32" s="160" t="s">
        <v>513</v>
      </c>
      <c r="B32" s="160">
        <v>10002</v>
      </c>
      <c r="C32" s="160">
        <v>10057</v>
      </c>
      <c r="D32" s="160">
        <v>12340</v>
      </c>
      <c r="E32" s="160">
        <v>12303</v>
      </c>
      <c r="F32" s="160">
        <v>19222</v>
      </c>
      <c r="G32" s="160">
        <v>19190</v>
      </c>
      <c r="H32" s="160">
        <v>6783</v>
      </c>
      <c r="I32" s="160">
        <v>7312</v>
      </c>
      <c r="J32" s="160">
        <v>15112</v>
      </c>
      <c r="K32" s="160">
        <v>15112</v>
      </c>
      <c r="L32" s="160">
        <f t="shared" si="0"/>
        <v>12691.8</v>
      </c>
      <c r="M32" s="160">
        <f t="shared" si="1"/>
        <v>12794.8</v>
      </c>
    </row>
    <row r="33" spans="1:13" x14ac:dyDescent="0.2">
      <c r="A33" s="160" t="s">
        <v>614</v>
      </c>
      <c r="B33" s="160">
        <v>1456</v>
      </c>
      <c r="C33" s="160">
        <v>1554</v>
      </c>
      <c r="D33" s="160">
        <v>1654</v>
      </c>
      <c r="E33" s="160">
        <v>1760</v>
      </c>
      <c r="F33" s="160">
        <v>934</v>
      </c>
      <c r="G33" s="160">
        <v>1251</v>
      </c>
      <c r="H33" s="160">
        <v>917</v>
      </c>
      <c r="I33" s="160">
        <v>1060</v>
      </c>
      <c r="J33" s="160">
        <v>75</v>
      </c>
      <c r="K33" s="160">
        <v>107</v>
      </c>
      <c r="L33" s="160">
        <f t="shared" si="0"/>
        <v>1007.2</v>
      </c>
      <c r="M33" s="160">
        <f t="shared" si="1"/>
        <v>1146.4000000000001</v>
      </c>
    </row>
    <row r="34" spans="1:13" x14ac:dyDescent="0.2">
      <c r="A34" s="160" t="s">
        <v>615</v>
      </c>
      <c r="B34" s="160">
        <v>612</v>
      </c>
      <c r="C34" s="160">
        <v>698</v>
      </c>
      <c r="D34" s="160">
        <v>3964</v>
      </c>
      <c r="E34" s="160">
        <v>6090</v>
      </c>
      <c r="F34" s="160">
        <v>1375</v>
      </c>
      <c r="G34" s="160">
        <v>510</v>
      </c>
      <c r="H34" s="160">
        <v>4564</v>
      </c>
      <c r="I34" s="160">
        <v>1737</v>
      </c>
      <c r="J34" s="160">
        <v>1506</v>
      </c>
      <c r="K34" s="160">
        <v>1734</v>
      </c>
      <c r="L34" s="160">
        <f t="shared" si="0"/>
        <v>2404.1999999999998</v>
      </c>
      <c r="M34" s="160">
        <f t="shared" si="1"/>
        <v>2153.8000000000002</v>
      </c>
    </row>
    <row r="35" spans="1:13" x14ac:dyDescent="0.2">
      <c r="A35" s="160" t="s">
        <v>514</v>
      </c>
      <c r="B35" s="160">
        <v>75379</v>
      </c>
      <c r="C35" s="160">
        <v>89926</v>
      </c>
      <c r="D35" s="160">
        <v>128525</v>
      </c>
      <c r="E35" s="160">
        <v>139224</v>
      </c>
      <c r="F35" s="160">
        <v>31487</v>
      </c>
      <c r="G35" s="160">
        <v>11063</v>
      </c>
      <c r="H35" s="160">
        <v>30041</v>
      </c>
      <c r="I35" s="160">
        <v>28675</v>
      </c>
      <c r="J35" s="160">
        <v>37180</v>
      </c>
      <c r="K35" s="160">
        <v>31573</v>
      </c>
      <c r="L35" s="160">
        <f t="shared" si="0"/>
        <v>60522.400000000001</v>
      </c>
      <c r="M35" s="160">
        <f t="shared" si="1"/>
        <v>60092.2</v>
      </c>
    </row>
    <row r="36" spans="1:13" x14ac:dyDescent="0.2">
      <c r="A36" s="160" t="s">
        <v>302</v>
      </c>
      <c r="B36" s="160">
        <v>7684</v>
      </c>
      <c r="C36" s="160">
        <v>13062</v>
      </c>
      <c r="D36" s="160">
        <v>5615</v>
      </c>
      <c r="E36" s="160">
        <v>5455</v>
      </c>
      <c r="F36" s="160">
        <v>3410</v>
      </c>
      <c r="G36" s="160">
        <v>3960</v>
      </c>
      <c r="H36" s="160">
        <v>4987</v>
      </c>
      <c r="I36" s="160">
        <v>6404</v>
      </c>
      <c r="J36" s="160">
        <v>872</v>
      </c>
      <c r="K36" s="160">
        <v>868</v>
      </c>
      <c r="L36" s="160">
        <f t="shared" si="0"/>
        <v>4513.6000000000004</v>
      </c>
      <c r="M36" s="160">
        <f t="shared" si="1"/>
        <v>5949.8</v>
      </c>
    </row>
    <row r="37" spans="1:13" x14ac:dyDescent="0.2">
      <c r="A37" s="160" t="s">
        <v>515</v>
      </c>
      <c r="B37" s="160">
        <v>16803</v>
      </c>
      <c r="C37" s="160">
        <v>18798</v>
      </c>
      <c r="D37" s="160">
        <v>9845</v>
      </c>
      <c r="E37" s="160">
        <v>9618</v>
      </c>
      <c r="F37" s="160">
        <v>13688</v>
      </c>
      <c r="G37" s="160">
        <v>18470</v>
      </c>
      <c r="H37" s="160">
        <v>7744</v>
      </c>
      <c r="I37" s="160">
        <v>6479</v>
      </c>
      <c r="J37" s="160">
        <v>10193</v>
      </c>
      <c r="K37" s="160">
        <v>10193</v>
      </c>
      <c r="L37" s="160">
        <f t="shared" si="0"/>
        <v>11654.6</v>
      </c>
      <c r="M37" s="160">
        <f t="shared" si="1"/>
        <v>12711.6</v>
      </c>
    </row>
    <row r="38" spans="1:13" x14ac:dyDescent="0.2">
      <c r="A38" s="160" t="s">
        <v>516</v>
      </c>
      <c r="B38" s="160">
        <v>15156</v>
      </c>
      <c r="C38" s="160">
        <v>20966</v>
      </c>
      <c r="D38" s="160">
        <v>9681</v>
      </c>
      <c r="E38" s="160">
        <v>23577</v>
      </c>
      <c r="F38" s="160">
        <v>15720</v>
      </c>
      <c r="G38" s="160">
        <v>31540</v>
      </c>
      <c r="H38" s="160">
        <v>9067</v>
      </c>
      <c r="I38" s="160">
        <v>11899</v>
      </c>
      <c r="J38" s="160">
        <v>9237</v>
      </c>
      <c r="K38" s="160">
        <v>9414</v>
      </c>
      <c r="L38" s="160">
        <f t="shared" si="0"/>
        <v>11772.2</v>
      </c>
      <c r="M38" s="160">
        <f t="shared" si="1"/>
        <v>19479.2</v>
      </c>
    </row>
    <row r="39" spans="1:13" x14ac:dyDescent="0.2">
      <c r="A39" s="160" t="s">
        <v>303</v>
      </c>
      <c r="B39" s="160">
        <v>29974</v>
      </c>
      <c r="C39" s="160">
        <v>62104</v>
      </c>
      <c r="D39" s="160">
        <v>8075</v>
      </c>
      <c r="E39" s="160">
        <v>14370</v>
      </c>
      <c r="F39" s="160">
        <v>8274</v>
      </c>
      <c r="G39" s="160">
        <v>8087</v>
      </c>
      <c r="H39" s="160">
        <v>11338</v>
      </c>
      <c r="I39" s="160">
        <v>12554</v>
      </c>
      <c r="J39" s="160">
        <v>4163</v>
      </c>
      <c r="K39" s="160">
        <v>4163</v>
      </c>
      <c r="L39" s="160">
        <f t="shared" si="0"/>
        <v>12364.8</v>
      </c>
      <c r="M39" s="160">
        <f t="shared" si="1"/>
        <v>20255.599999999999</v>
      </c>
    </row>
    <row r="40" spans="1:13" x14ac:dyDescent="0.2">
      <c r="A40" s="160" t="s">
        <v>385</v>
      </c>
      <c r="B40" s="160">
        <v>9109</v>
      </c>
      <c r="C40" s="160">
        <v>8471</v>
      </c>
      <c r="D40" s="160">
        <v>20492</v>
      </c>
      <c r="E40" s="160">
        <v>16306</v>
      </c>
      <c r="F40" s="160">
        <v>2157</v>
      </c>
      <c r="G40" s="160">
        <v>3350</v>
      </c>
      <c r="H40" s="160">
        <v>2604</v>
      </c>
      <c r="I40" s="160">
        <v>2758</v>
      </c>
      <c r="J40" s="160">
        <v>5146</v>
      </c>
      <c r="K40" s="160">
        <v>5149</v>
      </c>
      <c r="L40" s="160">
        <f t="shared" si="0"/>
        <v>7901.6</v>
      </c>
      <c r="M40" s="160">
        <f t="shared" si="1"/>
        <v>7206.8</v>
      </c>
    </row>
    <row r="41" spans="1:13" x14ac:dyDescent="0.2">
      <c r="A41" s="160" t="s">
        <v>438</v>
      </c>
      <c r="B41" s="160">
        <v>9062</v>
      </c>
      <c r="C41" s="160">
        <v>9510</v>
      </c>
      <c r="D41" s="160">
        <v>4621</v>
      </c>
      <c r="E41" s="160">
        <v>7855</v>
      </c>
      <c r="F41" s="160">
        <v>4506</v>
      </c>
      <c r="G41" s="160">
        <v>6177</v>
      </c>
      <c r="H41" s="160">
        <v>1563</v>
      </c>
      <c r="I41" s="160">
        <v>3334</v>
      </c>
      <c r="J41" s="160">
        <v>4691</v>
      </c>
      <c r="K41" s="160">
        <v>4765</v>
      </c>
      <c r="L41" s="160">
        <f t="shared" si="0"/>
        <v>4888.6000000000004</v>
      </c>
      <c r="M41" s="160">
        <f t="shared" si="1"/>
        <v>6328.2</v>
      </c>
    </row>
    <row r="42" spans="1:13" x14ac:dyDescent="0.2">
      <c r="A42" s="160" t="s">
        <v>517</v>
      </c>
      <c r="B42" s="160">
        <v>2652</v>
      </c>
      <c r="C42" s="160">
        <v>4025</v>
      </c>
      <c r="D42" s="160">
        <v>5229</v>
      </c>
      <c r="E42" s="160">
        <v>5053</v>
      </c>
      <c r="F42" s="160">
        <v>2085</v>
      </c>
      <c r="G42" s="160">
        <v>2501</v>
      </c>
      <c r="H42" s="160">
        <v>2871</v>
      </c>
      <c r="I42" s="160">
        <v>3924</v>
      </c>
      <c r="J42" s="160">
        <v>4337</v>
      </c>
      <c r="K42" s="160">
        <v>4255</v>
      </c>
      <c r="L42" s="160">
        <f t="shared" si="0"/>
        <v>3434.8</v>
      </c>
      <c r="M42" s="160">
        <f t="shared" si="1"/>
        <v>3951.6</v>
      </c>
    </row>
    <row r="43" spans="1:13" x14ac:dyDescent="0.2">
      <c r="A43" s="160" t="s">
        <v>386</v>
      </c>
      <c r="B43" s="160">
        <v>9259</v>
      </c>
      <c r="C43" s="160">
        <v>8089</v>
      </c>
      <c r="D43" s="160">
        <v>9680</v>
      </c>
      <c r="E43" s="160">
        <v>8631</v>
      </c>
      <c r="F43" s="160">
        <v>6632</v>
      </c>
      <c r="G43" s="160">
        <v>6756</v>
      </c>
      <c r="H43" s="160">
        <v>6145</v>
      </c>
      <c r="I43" s="160">
        <v>6325</v>
      </c>
      <c r="J43" s="160">
        <v>10016</v>
      </c>
      <c r="K43" s="160">
        <v>10150</v>
      </c>
      <c r="L43" s="160">
        <f t="shared" si="0"/>
        <v>8346.4</v>
      </c>
      <c r="M43" s="160">
        <f t="shared" si="1"/>
        <v>7990.2</v>
      </c>
    </row>
    <row r="44" spans="1:13" x14ac:dyDescent="0.2">
      <c r="A44" s="160" t="s">
        <v>387</v>
      </c>
      <c r="B44" s="160">
        <v>2986</v>
      </c>
      <c r="C44" s="160">
        <v>2196</v>
      </c>
      <c r="D44" s="160">
        <v>169</v>
      </c>
      <c r="E44" s="160">
        <v>455</v>
      </c>
      <c r="F44" s="160">
        <v>671</v>
      </c>
      <c r="G44" s="160">
        <v>1160</v>
      </c>
      <c r="H44" s="160">
        <v>948</v>
      </c>
      <c r="I44" s="160">
        <v>1317</v>
      </c>
      <c r="J44" s="160">
        <v>6336</v>
      </c>
      <c r="K44" s="160">
        <v>6369</v>
      </c>
      <c r="L44" s="160">
        <f t="shared" si="0"/>
        <v>2222</v>
      </c>
      <c r="M44" s="160">
        <f t="shared" si="1"/>
        <v>2299.4</v>
      </c>
    </row>
    <row r="45" spans="1:13" x14ac:dyDescent="0.2">
      <c r="A45" s="160" t="s">
        <v>439</v>
      </c>
      <c r="B45" s="160">
        <v>11571</v>
      </c>
      <c r="C45" s="160">
        <v>12813</v>
      </c>
      <c r="D45" s="160">
        <v>12481</v>
      </c>
      <c r="E45" s="160">
        <v>21905</v>
      </c>
      <c r="F45" s="160">
        <v>45691</v>
      </c>
      <c r="G45" s="160">
        <v>50855</v>
      </c>
      <c r="H45" s="160">
        <v>26574</v>
      </c>
      <c r="I45" s="160">
        <v>38042</v>
      </c>
      <c r="J45" s="160">
        <v>12716</v>
      </c>
      <c r="K45" s="160">
        <v>12999</v>
      </c>
      <c r="L45" s="160">
        <f t="shared" si="0"/>
        <v>21806.6</v>
      </c>
      <c r="M45" s="160">
        <f t="shared" si="1"/>
        <v>27322.799999999999</v>
      </c>
    </row>
    <row r="46" spans="1:13" x14ac:dyDescent="0.2">
      <c r="A46" s="160" t="s">
        <v>518</v>
      </c>
      <c r="B46" s="160">
        <v>6653</v>
      </c>
      <c r="C46" s="160">
        <v>6126</v>
      </c>
      <c r="D46" s="160">
        <v>2971</v>
      </c>
      <c r="E46" s="160">
        <v>2860</v>
      </c>
      <c r="F46" s="160">
        <v>6004</v>
      </c>
      <c r="G46" s="160">
        <v>8521</v>
      </c>
      <c r="H46" s="160">
        <v>1871</v>
      </c>
      <c r="I46" s="160">
        <v>2961</v>
      </c>
      <c r="J46" s="160">
        <v>4334</v>
      </c>
      <c r="K46" s="160">
        <v>4140</v>
      </c>
      <c r="L46" s="160">
        <f t="shared" si="0"/>
        <v>4366.6000000000004</v>
      </c>
      <c r="M46" s="160">
        <f t="shared" si="1"/>
        <v>4921.6000000000004</v>
      </c>
    </row>
    <row r="47" spans="1:13" x14ac:dyDescent="0.2">
      <c r="A47" s="160" t="s">
        <v>218</v>
      </c>
      <c r="B47" s="160">
        <v>2507</v>
      </c>
      <c r="C47" s="160">
        <v>2841</v>
      </c>
      <c r="D47" s="160">
        <v>3086</v>
      </c>
      <c r="E47" s="160">
        <v>2988</v>
      </c>
      <c r="F47" s="160">
        <v>1725</v>
      </c>
      <c r="G47" s="160">
        <v>2898</v>
      </c>
      <c r="H47" s="160">
        <v>1870</v>
      </c>
      <c r="I47" s="160">
        <v>2007</v>
      </c>
      <c r="J47" s="160">
        <v>202</v>
      </c>
      <c r="K47" s="160">
        <v>293</v>
      </c>
      <c r="L47" s="160">
        <f t="shared" si="0"/>
        <v>1878</v>
      </c>
      <c r="M47" s="160">
        <f t="shared" si="1"/>
        <v>2205.4</v>
      </c>
    </row>
    <row r="48" spans="1:13" x14ac:dyDescent="0.2">
      <c r="A48" s="160" t="s">
        <v>275</v>
      </c>
      <c r="B48" s="160">
        <v>12498</v>
      </c>
      <c r="C48" s="160">
        <v>12303</v>
      </c>
      <c r="D48" s="160">
        <v>18435</v>
      </c>
      <c r="E48" s="160">
        <v>20471</v>
      </c>
      <c r="F48" s="160">
        <v>23990</v>
      </c>
      <c r="G48" s="160">
        <v>25257</v>
      </c>
      <c r="H48" s="160">
        <v>8671</v>
      </c>
      <c r="I48" s="160">
        <v>10787</v>
      </c>
      <c r="J48" s="160">
        <v>7458</v>
      </c>
      <c r="K48" s="160">
        <v>7613</v>
      </c>
      <c r="L48" s="160">
        <f t="shared" si="0"/>
        <v>14210.4</v>
      </c>
      <c r="M48" s="160">
        <f t="shared" si="1"/>
        <v>15286.2</v>
      </c>
    </row>
    <row r="49" spans="1:13" x14ac:dyDescent="0.2">
      <c r="A49" s="160" t="s">
        <v>496</v>
      </c>
      <c r="B49" s="160">
        <v>4464</v>
      </c>
      <c r="C49" s="160">
        <v>5561</v>
      </c>
      <c r="D49" s="160">
        <v>6007</v>
      </c>
      <c r="E49" s="160">
        <v>3825</v>
      </c>
      <c r="F49" s="160">
        <v>4184</v>
      </c>
      <c r="G49" s="160">
        <v>2224</v>
      </c>
      <c r="H49" s="160">
        <v>578</v>
      </c>
      <c r="I49" s="160">
        <v>532</v>
      </c>
      <c r="J49" s="160">
        <v>1830</v>
      </c>
      <c r="K49" s="160">
        <v>1740</v>
      </c>
      <c r="L49" s="160">
        <f t="shared" si="0"/>
        <v>3412.6</v>
      </c>
      <c r="M49" s="160">
        <f t="shared" si="1"/>
        <v>2776.4</v>
      </c>
    </row>
    <row r="50" spans="1:13" x14ac:dyDescent="0.2">
      <c r="A50" s="160" t="s">
        <v>519</v>
      </c>
      <c r="B50" s="160">
        <v>2435</v>
      </c>
      <c r="C50" s="160">
        <v>3676</v>
      </c>
      <c r="D50" s="160">
        <v>30583</v>
      </c>
      <c r="E50" s="160">
        <v>32033</v>
      </c>
      <c r="F50" s="160">
        <v>1604</v>
      </c>
      <c r="G50" s="160">
        <v>2576</v>
      </c>
      <c r="H50" s="160">
        <v>18748</v>
      </c>
      <c r="I50" s="160">
        <v>20708</v>
      </c>
      <c r="J50" s="160">
        <v>1636</v>
      </c>
      <c r="K50" s="160">
        <v>1872</v>
      </c>
      <c r="L50" s="160">
        <f t="shared" si="0"/>
        <v>11001.2</v>
      </c>
      <c r="M50" s="160">
        <f t="shared" si="1"/>
        <v>12173</v>
      </c>
    </row>
    <row r="51" spans="1:13" x14ac:dyDescent="0.2">
      <c r="A51" s="160" t="s">
        <v>520</v>
      </c>
      <c r="B51" s="160">
        <v>9425</v>
      </c>
      <c r="C51" s="160">
        <v>8748</v>
      </c>
      <c r="D51" s="160">
        <v>3683</v>
      </c>
      <c r="E51" s="160">
        <v>4033</v>
      </c>
      <c r="F51" s="160">
        <v>3697</v>
      </c>
      <c r="G51" s="160">
        <v>3765</v>
      </c>
      <c r="H51" s="160">
        <v>3658</v>
      </c>
      <c r="I51" s="160">
        <v>5556</v>
      </c>
      <c r="J51" s="160">
        <v>6687</v>
      </c>
      <c r="K51" s="160">
        <v>7109</v>
      </c>
      <c r="L51" s="160">
        <f t="shared" si="0"/>
        <v>5430</v>
      </c>
      <c r="M51" s="160">
        <f t="shared" si="1"/>
        <v>5842.2</v>
      </c>
    </row>
    <row r="52" spans="1:13" x14ac:dyDescent="0.2">
      <c r="A52" s="160" t="s">
        <v>521</v>
      </c>
      <c r="B52" s="160">
        <v>48206</v>
      </c>
      <c r="C52" s="160">
        <v>70396</v>
      </c>
      <c r="D52" s="160">
        <v>43368</v>
      </c>
      <c r="E52" s="160">
        <v>59296</v>
      </c>
      <c r="F52" s="160">
        <v>17185</v>
      </c>
      <c r="G52" s="160">
        <v>27084</v>
      </c>
      <c r="H52" s="160">
        <v>71203</v>
      </c>
      <c r="I52" s="160">
        <v>76489</v>
      </c>
      <c r="J52" s="160">
        <v>51819</v>
      </c>
      <c r="K52" s="160">
        <v>57923</v>
      </c>
      <c r="L52" s="160">
        <f t="shared" si="0"/>
        <v>46356.2</v>
      </c>
      <c r="M52" s="160">
        <f t="shared" si="1"/>
        <v>58237.599999999999</v>
      </c>
    </row>
    <row r="53" spans="1:13" x14ac:dyDescent="0.2">
      <c r="A53" s="160" t="s">
        <v>440</v>
      </c>
      <c r="B53" s="160">
        <v>10785</v>
      </c>
      <c r="C53" s="160">
        <v>15572</v>
      </c>
      <c r="D53" s="160">
        <v>11083</v>
      </c>
      <c r="E53" s="160">
        <v>16512</v>
      </c>
      <c r="F53" s="160">
        <v>11616</v>
      </c>
      <c r="G53" s="160">
        <v>25868</v>
      </c>
      <c r="H53" s="160">
        <v>12981</v>
      </c>
      <c r="I53" s="160">
        <v>14224</v>
      </c>
      <c r="J53" s="160">
        <v>9844</v>
      </c>
      <c r="K53" s="160">
        <v>10226</v>
      </c>
      <c r="L53" s="160">
        <f t="shared" si="0"/>
        <v>11261.8</v>
      </c>
      <c r="M53" s="160">
        <f t="shared" si="1"/>
        <v>16480.400000000001</v>
      </c>
    </row>
    <row r="54" spans="1:13" x14ac:dyDescent="0.2">
      <c r="A54" s="160" t="s">
        <v>304</v>
      </c>
      <c r="B54" s="160">
        <v>-84</v>
      </c>
      <c r="C54" s="160">
        <v>1004</v>
      </c>
      <c r="D54" s="160">
        <v>1208</v>
      </c>
      <c r="E54" s="160">
        <v>4501</v>
      </c>
      <c r="F54" s="160">
        <v>171</v>
      </c>
      <c r="G54" s="160">
        <v>3011</v>
      </c>
      <c r="H54" s="160">
        <v>5142</v>
      </c>
      <c r="I54" s="160">
        <v>7810</v>
      </c>
      <c r="J54" s="160">
        <v>57</v>
      </c>
      <c r="K54" s="160">
        <v>1365</v>
      </c>
      <c r="L54" s="160">
        <f t="shared" si="0"/>
        <v>1298.8</v>
      </c>
      <c r="M54" s="160">
        <f t="shared" si="1"/>
        <v>3538.2</v>
      </c>
    </row>
    <row r="55" spans="1:13" x14ac:dyDescent="0.2">
      <c r="A55" s="160" t="s">
        <v>305</v>
      </c>
      <c r="B55" s="160">
        <v>8069</v>
      </c>
      <c r="C55" s="160">
        <v>10448</v>
      </c>
      <c r="D55" s="160">
        <v>9394</v>
      </c>
      <c r="E55" s="160">
        <v>24872</v>
      </c>
      <c r="F55" s="160">
        <v>10295</v>
      </c>
      <c r="G55" s="160">
        <v>10327</v>
      </c>
      <c r="H55" s="160">
        <v>1531</v>
      </c>
      <c r="I55" s="160">
        <v>1443</v>
      </c>
      <c r="J55" s="160">
        <v>1198</v>
      </c>
      <c r="K55" s="160">
        <v>1197</v>
      </c>
      <c r="L55" s="160">
        <f t="shared" si="0"/>
        <v>6097.4</v>
      </c>
      <c r="M55" s="160">
        <f t="shared" si="1"/>
        <v>9657.4</v>
      </c>
    </row>
    <row r="56" spans="1:13" x14ac:dyDescent="0.2">
      <c r="A56" s="160" t="s">
        <v>576</v>
      </c>
      <c r="B56" s="160">
        <v>225</v>
      </c>
      <c r="C56" s="160">
        <v>902</v>
      </c>
      <c r="D56" s="160">
        <v>3809</v>
      </c>
      <c r="E56" s="160">
        <v>4401</v>
      </c>
      <c r="F56" s="160">
        <v>9093</v>
      </c>
      <c r="G56" s="160">
        <v>10690</v>
      </c>
      <c r="H56" s="160">
        <v>4307</v>
      </c>
      <c r="I56" s="160">
        <v>5011</v>
      </c>
      <c r="J56" s="160">
        <v>514</v>
      </c>
      <c r="K56" s="160">
        <v>669</v>
      </c>
      <c r="L56" s="160">
        <f t="shared" si="0"/>
        <v>3589.6</v>
      </c>
      <c r="M56" s="160">
        <f t="shared" si="1"/>
        <v>4334.6000000000004</v>
      </c>
    </row>
    <row r="57" spans="1:13" x14ac:dyDescent="0.2">
      <c r="A57" s="160" t="s">
        <v>356</v>
      </c>
      <c r="B57" s="160">
        <v>10809</v>
      </c>
      <c r="C57" s="160">
        <v>10830</v>
      </c>
      <c r="D57" s="160">
        <v>7596</v>
      </c>
      <c r="E57" s="160">
        <v>9452</v>
      </c>
      <c r="F57" s="160">
        <v>6255</v>
      </c>
      <c r="G57" s="160">
        <v>9070</v>
      </c>
      <c r="H57" s="160">
        <v>8307</v>
      </c>
      <c r="I57" s="160">
        <v>10752</v>
      </c>
      <c r="J57" s="160">
        <v>0</v>
      </c>
      <c r="K57" s="160">
        <v>0</v>
      </c>
      <c r="L57" s="160">
        <f t="shared" si="0"/>
        <v>6593.4</v>
      </c>
      <c r="M57" s="160">
        <f t="shared" si="1"/>
        <v>8020.8</v>
      </c>
    </row>
    <row r="58" spans="1:13" x14ac:dyDescent="0.2">
      <c r="A58" s="160" t="s">
        <v>357</v>
      </c>
      <c r="B58" s="160">
        <v>9932</v>
      </c>
      <c r="C58" s="160">
        <v>9719</v>
      </c>
      <c r="D58" s="160">
        <v>6014</v>
      </c>
      <c r="E58" s="160">
        <v>4679</v>
      </c>
      <c r="F58" s="160">
        <v>7609</v>
      </c>
      <c r="G58" s="160">
        <v>10405</v>
      </c>
      <c r="H58" s="160">
        <v>7208</v>
      </c>
      <c r="I58" s="160">
        <v>10554</v>
      </c>
      <c r="J58" s="160">
        <v>7585</v>
      </c>
      <c r="K58" s="160">
        <v>7081</v>
      </c>
      <c r="L58" s="160">
        <f t="shared" si="0"/>
        <v>7669.6</v>
      </c>
      <c r="M58" s="160">
        <f t="shared" si="1"/>
        <v>8487.6</v>
      </c>
    </row>
    <row r="59" spans="1:13" x14ac:dyDescent="0.2">
      <c r="A59" s="160" t="s">
        <v>306</v>
      </c>
      <c r="B59" s="160">
        <v>7484</v>
      </c>
      <c r="C59" s="160">
        <v>7544</v>
      </c>
      <c r="D59" s="160">
        <v>20985</v>
      </c>
      <c r="E59" s="160">
        <v>23036</v>
      </c>
      <c r="F59" s="160">
        <v>9789</v>
      </c>
      <c r="G59" s="160">
        <v>11869</v>
      </c>
      <c r="H59" s="160">
        <v>6430</v>
      </c>
      <c r="I59" s="160">
        <v>7739</v>
      </c>
      <c r="J59" s="160">
        <v>4251</v>
      </c>
      <c r="K59" s="160">
        <v>4356</v>
      </c>
      <c r="L59" s="160">
        <f t="shared" si="0"/>
        <v>9787.7999999999993</v>
      </c>
      <c r="M59" s="160">
        <f t="shared" si="1"/>
        <v>10908.8</v>
      </c>
    </row>
    <row r="60" spans="1:13" x14ac:dyDescent="0.2">
      <c r="A60" s="160" t="s">
        <v>388</v>
      </c>
      <c r="B60" s="160">
        <v>3144</v>
      </c>
      <c r="C60" s="160">
        <v>1907</v>
      </c>
      <c r="D60" s="160">
        <v>22942</v>
      </c>
      <c r="E60" s="160">
        <v>23251</v>
      </c>
      <c r="F60" s="160">
        <v>1513</v>
      </c>
      <c r="G60" s="160">
        <v>2638</v>
      </c>
      <c r="H60" s="160">
        <v>666</v>
      </c>
      <c r="I60" s="160">
        <v>552</v>
      </c>
      <c r="J60" s="160">
        <v>176</v>
      </c>
      <c r="K60" s="160">
        <v>179</v>
      </c>
      <c r="L60" s="160">
        <f t="shared" si="0"/>
        <v>5688.2</v>
      </c>
      <c r="M60" s="160">
        <f t="shared" si="1"/>
        <v>5705.4</v>
      </c>
    </row>
    <row r="61" spans="1:13" x14ac:dyDescent="0.2">
      <c r="A61" s="160" t="s">
        <v>441</v>
      </c>
      <c r="B61" s="160">
        <v>6022</v>
      </c>
      <c r="C61" s="160">
        <v>5948</v>
      </c>
      <c r="D61" s="160">
        <v>12196</v>
      </c>
      <c r="E61" s="160">
        <v>9724</v>
      </c>
      <c r="F61" s="160">
        <v>2971</v>
      </c>
      <c r="G61" s="160">
        <v>3132</v>
      </c>
      <c r="H61" s="160">
        <v>2028</v>
      </c>
      <c r="I61" s="160">
        <v>2186</v>
      </c>
      <c r="J61" s="160">
        <v>585</v>
      </c>
      <c r="K61" s="160">
        <v>813</v>
      </c>
      <c r="L61" s="160">
        <f t="shared" si="0"/>
        <v>4760.3999999999996</v>
      </c>
      <c r="M61" s="160">
        <f t="shared" si="1"/>
        <v>4360.6000000000004</v>
      </c>
    </row>
    <row r="62" spans="1:13" x14ac:dyDescent="0.2">
      <c r="A62" s="160" t="s">
        <v>389</v>
      </c>
      <c r="B62" s="160">
        <v>5357</v>
      </c>
      <c r="C62" s="160">
        <v>5231</v>
      </c>
      <c r="D62" s="160">
        <v>1993</v>
      </c>
      <c r="E62" s="160">
        <v>1490</v>
      </c>
      <c r="F62" s="160">
        <v>4779</v>
      </c>
      <c r="G62" s="160">
        <v>4550</v>
      </c>
      <c r="H62" s="160">
        <v>1615</v>
      </c>
      <c r="I62" s="160">
        <v>2045</v>
      </c>
      <c r="J62" s="160">
        <v>1779</v>
      </c>
      <c r="K62" s="160">
        <v>1906</v>
      </c>
      <c r="L62" s="160">
        <f t="shared" si="0"/>
        <v>3104.6</v>
      </c>
      <c r="M62" s="160">
        <f t="shared" si="1"/>
        <v>3044.4</v>
      </c>
    </row>
    <row r="63" spans="1:13" x14ac:dyDescent="0.2">
      <c r="A63" s="160" t="s">
        <v>219</v>
      </c>
      <c r="B63" s="160">
        <v>14586</v>
      </c>
      <c r="C63" s="160">
        <v>19096</v>
      </c>
      <c r="D63" s="160">
        <v>5862</v>
      </c>
      <c r="E63" s="160">
        <v>13998</v>
      </c>
      <c r="F63" s="160">
        <v>8817</v>
      </c>
      <c r="G63" s="160">
        <v>10680</v>
      </c>
      <c r="H63" s="160">
        <v>6881</v>
      </c>
      <c r="I63" s="160">
        <v>11314</v>
      </c>
      <c r="J63" s="160">
        <v>9710</v>
      </c>
      <c r="K63" s="160">
        <v>10444</v>
      </c>
      <c r="L63" s="160">
        <f t="shared" si="0"/>
        <v>9171.2000000000007</v>
      </c>
      <c r="M63" s="160">
        <f t="shared" si="1"/>
        <v>13106.4</v>
      </c>
    </row>
    <row r="64" spans="1:13" x14ac:dyDescent="0.2">
      <c r="A64" s="160" t="s">
        <v>522</v>
      </c>
      <c r="B64" s="160">
        <v>1925</v>
      </c>
      <c r="C64" s="160">
        <v>1925</v>
      </c>
      <c r="D64" s="160">
        <v>2355</v>
      </c>
      <c r="E64" s="160">
        <v>2355</v>
      </c>
      <c r="F64" s="160">
        <v>2219</v>
      </c>
      <c r="G64" s="160">
        <v>1935</v>
      </c>
      <c r="H64" s="160">
        <v>3709</v>
      </c>
      <c r="I64" s="160">
        <v>3450</v>
      </c>
      <c r="J64" s="160">
        <v>458</v>
      </c>
      <c r="K64" s="160">
        <v>459</v>
      </c>
      <c r="L64" s="160">
        <f t="shared" si="0"/>
        <v>2133.1999999999998</v>
      </c>
      <c r="M64" s="160">
        <f t="shared" si="1"/>
        <v>2024.8</v>
      </c>
    </row>
    <row r="65" spans="1:13" x14ac:dyDescent="0.2">
      <c r="A65" s="160" t="s">
        <v>442</v>
      </c>
      <c r="B65" s="160">
        <v>1016</v>
      </c>
      <c r="C65" s="160">
        <v>1182</v>
      </c>
      <c r="D65" s="160">
        <v>1521</v>
      </c>
      <c r="E65" s="160">
        <v>1973</v>
      </c>
      <c r="F65" s="160">
        <v>673</v>
      </c>
      <c r="G65" s="160">
        <v>770</v>
      </c>
      <c r="H65" s="160">
        <v>2188</v>
      </c>
      <c r="I65" s="160">
        <v>1513</v>
      </c>
      <c r="J65" s="160">
        <v>198</v>
      </c>
      <c r="K65" s="160">
        <v>245</v>
      </c>
      <c r="L65" s="160">
        <f t="shared" ref="L65:L127" si="2">SUM(B65,D65,F65,H65,J65)/5</f>
        <v>1119.2</v>
      </c>
      <c r="M65" s="160">
        <f t="shared" ref="M65:M127" si="3">SUM(C65,E65,G65,I65,K65)/5</f>
        <v>1136.5999999999999</v>
      </c>
    </row>
    <row r="66" spans="1:13" x14ac:dyDescent="0.2">
      <c r="A66" s="160" t="s">
        <v>523</v>
      </c>
      <c r="B66" s="160">
        <v>12910</v>
      </c>
      <c r="C66" s="160">
        <v>17759</v>
      </c>
      <c r="D66" s="160">
        <v>36143</v>
      </c>
      <c r="E66" s="160">
        <v>26834</v>
      </c>
      <c r="F66" s="160">
        <v>12246</v>
      </c>
      <c r="G66" s="160">
        <v>10886</v>
      </c>
      <c r="H66" s="160">
        <v>13378</v>
      </c>
      <c r="I66" s="160">
        <v>13117</v>
      </c>
      <c r="J66" s="160">
        <v>11738</v>
      </c>
      <c r="K66" s="160">
        <v>11751</v>
      </c>
      <c r="L66" s="160">
        <f t="shared" si="2"/>
        <v>17283</v>
      </c>
      <c r="M66" s="160">
        <f t="shared" si="3"/>
        <v>16069.4</v>
      </c>
    </row>
    <row r="67" spans="1:13" x14ac:dyDescent="0.2">
      <c r="A67" s="160" t="s">
        <v>307</v>
      </c>
      <c r="B67" s="160">
        <v>15937</v>
      </c>
      <c r="C67" s="160">
        <v>15069</v>
      </c>
      <c r="D67" s="160">
        <v>10633</v>
      </c>
      <c r="E67" s="160">
        <v>10990</v>
      </c>
      <c r="F67" s="160">
        <v>10662</v>
      </c>
      <c r="G67" s="160">
        <v>10283</v>
      </c>
      <c r="H67" s="160">
        <v>3751</v>
      </c>
      <c r="I67" s="160">
        <v>4910</v>
      </c>
      <c r="J67" s="160">
        <v>553</v>
      </c>
      <c r="K67" s="160">
        <v>721</v>
      </c>
      <c r="L67" s="160">
        <f t="shared" si="2"/>
        <v>8307.2000000000007</v>
      </c>
      <c r="M67" s="160">
        <f t="shared" si="3"/>
        <v>8394.6</v>
      </c>
    </row>
    <row r="68" spans="1:13" x14ac:dyDescent="0.2">
      <c r="A68" s="160" t="s">
        <v>276</v>
      </c>
      <c r="B68" s="160">
        <v>5923</v>
      </c>
      <c r="C68" s="160">
        <v>5348</v>
      </c>
      <c r="D68" s="160">
        <v>2108</v>
      </c>
      <c r="E68" s="160">
        <v>5047</v>
      </c>
      <c r="F68" s="160">
        <v>1188</v>
      </c>
      <c r="G68" s="160">
        <v>2852</v>
      </c>
      <c r="H68" s="160">
        <v>1443</v>
      </c>
      <c r="I68" s="160">
        <v>4157</v>
      </c>
      <c r="J68" s="160">
        <v>1281</v>
      </c>
      <c r="K68" s="160">
        <v>1281</v>
      </c>
      <c r="L68" s="160">
        <f t="shared" si="2"/>
        <v>2388.6</v>
      </c>
      <c r="M68" s="160">
        <f t="shared" si="3"/>
        <v>3737</v>
      </c>
    </row>
    <row r="69" spans="1:13" x14ac:dyDescent="0.2">
      <c r="A69" s="160" t="s">
        <v>254</v>
      </c>
      <c r="B69" s="160">
        <v>2080</v>
      </c>
      <c r="C69" s="160">
        <v>2280</v>
      </c>
      <c r="D69" s="160">
        <v>2422</v>
      </c>
      <c r="E69" s="160">
        <v>1811</v>
      </c>
      <c r="F69" s="160">
        <v>2870</v>
      </c>
      <c r="G69" s="160">
        <v>3459</v>
      </c>
      <c r="H69" s="160">
        <v>1299</v>
      </c>
      <c r="I69" s="160">
        <v>407</v>
      </c>
      <c r="J69" s="160">
        <v>414</v>
      </c>
      <c r="K69" s="160">
        <v>434</v>
      </c>
      <c r="L69" s="160">
        <f t="shared" si="2"/>
        <v>1817</v>
      </c>
      <c r="M69" s="160">
        <f t="shared" si="3"/>
        <v>1678.2</v>
      </c>
    </row>
    <row r="70" spans="1:13" x14ac:dyDescent="0.2">
      <c r="A70" s="160" t="s">
        <v>358</v>
      </c>
      <c r="B70" s="160">
        <v>10577</v>
      </c>
      <c r="C70" s="160">
        <v>11083</v>
      </c>
      <c r="D70" s="160">
        <v>7422</v>
      </c>
      <c r="E70" s="160">
        <v>6407</v>
      </c>
      <c r="F70" s="160">
        <v>9235</v>
      </c>
      <c r="G70" s="160">
        <v>15488</v>
      </c>
      <c r="H70" s="160">
        <v>20115</v>
      </c>
      <c r="I70" s="160">
        <v>20178</v>
      </c>
      <c r="J70" s="160">
        <v>11463</v>
      </c>
      <c r="K70" s="160">
        <v>12044</v>
      </c>
      <c r="L70" s="160">
        <f t="shared" si="2"/>
        <v>11762.4</v>
      </c>
      <c r="M70" s="160">
        <f t="shared" si="3"/>
        <v>13040</v>
      </c>
    </row>
    <row r="71" spans="1:13" x14ac:dyDescent="0.2">
      <c r="A71" s="160" t="s">
        <v>255</v>
      </c>
      <c r="B71" s="160">
        <v>10403.304661535018</v>
      </c>
      <c r="C71" s="160">
        <v>10949.048302939505</v>
      </c>
      <c r="D71" s="160">
        <v>14867.346570397112</v>
      </c>
      <c r="E71" s="160">
        <v>15752.495306859206</v>
      </c>
      <c r="F71" s="160">
        <v>12264.0948942754</v>
      </c>
      <c r="G71" s="160">
        <v>14419.421454357916</v>
      </c>
      <c r="H71" s="160">
        <v>82</v>
      </c>
      <c r="I71" s="160">
        <v>55</v>
      </c>
      <c r="J71" s="160">
        <v>0</v>
      </c>
      <c r="K71" s="160">
        <v>0</v>
      </c>
      <c r="L71" s="160">
        <f t="shared" si="2"/>
        <v>7523.3492252415062</v>
      </c>
      <c r="M71" s="160">
        <f t="shared" si="3"/>
        <v>8235.1930128313252</v>
      </c>
    </row>
    <row r="72" spans="1:13" x14ac:dyDescent="0.2">
      <c r="A72" s="160" t="s">
        <v>232</v>
      </c>
      <c r="B72" s="160">
        <v>2396</v>
      </c>
      <c r="C72" s="160">
        <v>3242</v>
      </c>
      <c r="D72" s="160">
        <v>875</v>
      </c>
      <c r="E72" s="160">
        <v>3407</v>
      </c>
      <c r="F72" s="160">
        <v>965</v>
      </c>
      <c r="G72" s="160">
        <v>1454</v>
      </c>
      <c r="H72" s="160">
        <v>773</v>
      </c>
      <c r="I72" s="160">
        <v>1138</v>
      </c>
      <c r="J72" s="160">
        <v>176</v>
      </c>
      <c r="K72" s="160">
        <v>573</v>
      </c>
      <c r="L72" s="160">
        <f t="shared" si="2"/>
        <v>1037</v>
      </c>
      <c r="M72" s="160">
        <f t="shared" si="3"/>
        <v>1962.8</v>
      </c>
    </row>
    <row r="73" spans="1:13" x14ac:dyDescent="0.2">
      <c r="A73" s="160" t="s">
        <v>359</v>
      </c>
      <c r="B73" s="160">
        <v>5824</v>
      </c>
      <c r="C73" s="160">
        <v>7095</v>
      </c>
      <c r="D73" s="160">
        <v>5413</v>
      </c>
      <c r="E73" s="160">
        <v>13828</v>
      </c>
      <c r="F73" s="160">
        <v>5095</v>
      </c>
      <c r="G73" s="160">
        <v>7004</v>
      </c>
      <c r="H73" s="160">
        <v>5047</v>
      </c>
      <c r="I73" s="160">
        <v>5373</v>
      </c>
      <c r="J73" s="160">
        <v>13591</v>
      </c>
      <c r="K73" s="160">
        <v>13590</v>
      </c>
      <c r="L73" s="160">
        <f t="shared" si="2"/>
        <v>6994</v>
      </c>
      <c r="M73" s="160">
        <f t="shared" si="3"/>
        <v>9378</v>
      </c>
    </row>
    <row r="74" spans="1:13" x14ac:dyDescent="0.2">
      <c r="A74" s="160" t="s">
        <v>227</v>
      </c>
      <c r="B74" s="160">
        <v>1874</v>
      </c>
      <c r="C74" s="160">
        <v>2228</v>
      </c>
      <c r="D74" s="160">
        <v>1916</v>
      </c>
      <c r="E74" s="160">
        <v>3080</v>
      </c>
      <c r="F74" s="160">
        <v>1183</v>
      </c>
      <c r="G74" s="160">
        <v>1927</v>
      </c>
      <c r="H74" s="160">
        <v>2324</v>
      </c>
      <c r="I74" s="160">
        <v>2645</v>
      </c>
      <c r="J74" s="160">
        <v>1390</v>
      </c>
      <c r="K74" s="160">
        <v>1464</v>
      </c>
      <c r="L74" s="160">
        <f t="shared" si="2"/>
        <v>1737.4</v>
      </c>
      <c r="M74" s="160">
        <f t="shared" si="3"/>
        <v>2268.8000000000002</v>
      </c>
    </row>
    <row r="75" spans="1:13" x14ac:dyDescent="0.2">
      <c r="A75" s="160" t="s">
        <v>443</v>
      </c>
      <c r="B75" s="160">
        <v>61624</v>
      </c>
      <c r="C75" s="160">
        <v>60300</v>
      </c>
      <c r="D75" s="160">
        <v>87897</v>
      </c>
      <c r="E75" s="160">
        <v>89073</v>
      </c>
      <c r="F75" s="160">
        <v>56724</v>
      </c>
      <c r="G75" s="160">
        <v>66677</v>
      </c>
      <c r="H75" s="160">
        <v>38877</v>
      </c>
      <c r="I75" s="160">
        <v>65198</v>
      </c>
      <c r="J75" s="160">
        <v>18419</v>
      </c>
      <c r="K75" s="160">
        <v>18154</v>
      </c>
      <c r="L75" s="160">
        <f t="shared" si="2"/>
        <v>52708.2</v>
      </c>
      <c r="M75" s="160">
        <f t="shared" si="3"/>
        <v>59880.4</v>
      </c>
    </row>
    <row r="76" spans="1:13" x14ac:dyDescent="0.2">
      <c r="A76" s="160" t="s">
        <v>233</v>
      </c>
      <c r="B76" s="160">
        <v>13122</v>
      </c>
      <c r="C76" s="160">
        <v>13122</v>
      </c>
      <c r="D76" s="160">
        <v>7806</v>
      </c>
      <c r="E76" s="160">
        <v>7989</v>
      </c>
      <c r="F76" s="160">
        <v>3612</v>
      </c>
      <c r="G76" s="160">
        <v>3610</v>
      </c>
      <c r="H76" s="160">
        <v>1633</v>
      </c>
      <c r="I76" s="160">
        <v>1641</v>
      </c>
      <c r="J76" s="160">
        <v>1055</v>
      </c>
      <c r="K76" s="160">
        <v>1055</v>
      </c>
      <c r="L76" s="160">
        <f t="shared" si="2"/>
        <v>5445.6</v>
      </c>
      <c r="M76" s="160">
        <f t="shared" si="3"/>
        <v>5483.4</v>
      </c>
    </row>
    <row r="77" spans="1:13" x14ac:dyDescent="0.2">
      <c r="A77" s="160" t="s">
        <v>390</v>
      </c>
      <c r="B77" s="160">
        <v>11671</v>
      </c>
      <c r="C77" s="160">
        <v>13061</v>
      </c>
      <c r="D77" s="160">
        <v>9242</v>
      </c>
      <c r="E77" s="160">
        <v>11339</v>
      </c>
      <c r="F77" s="160">
        <v>4205</v>
      </c>
      <c r="G77" s="160">
        <v>6937</v>
      </c>
      <c r="H77" s="160">
        <v>14099</v>
      </c>
      <c r="I77" s="160">
        <v>14400</v>
      </c>
      <c r="J77" s="160">
        <v>9135</v>
      </c>
      <c r="K77" s="160">
        <v>9966</v>
      </c>
      <c r="L77" s="160">
        <f t="shared" si="2"/>
        <v>9670.4</v>
      </c>
      <c r="M77" s="160">
        <f t="shared" si="3"/>
        <v>11140.6</v>
      </c>
    </row>
    <row r="78" spans="1:13" x14ac:dyDescent="0.2">
      <c r="A78" s="160" t="s">
        <v>524</v>
      </c>
      <c r="B78" s="160">
        <v>35087</v>
      </c>
      <c r="C78" s="160">
        <v>36866</v>
      </c>
      <c r="D78" s="160">
        <v>17562</v>
      </c>
      <c r="E78" s="160">
        <v>33434</v>
      </c>
      <c r="F78" s="160">
        <v>20962</v>
      </c>
      <c r="G78" s="160">
        <v>21907</v>
      </c>
      <c r="H78" s="160">
        <v>15803</v>
      </c>
      <c r="I78" s="160">
        <v>16609</v>
      </c>
      <c r="J78" s="160">
        <v>14931</v>
      </c>
      <c r="K78" s="160">
        <v>15091</v>
      </c>
      <c r="L78" s="160">
        <f t="shared" si="2"/>
        <v>20869</v>
      </c>
      <c r="M78" s="160">
        <f t="shared" si="3"/>
        <v>24781.4</v>
      </c>
    </row>
    <row r="79" spans="1:13" x14ac:dyDescent="0.2">
      <c r="A79" s="160" t="s">
        <v>277</v>
      </c>
      <c r="B79" s="160">
        <v>19411</v>
      </c>
      <c r="C79" s="160">
        <v>35684</v>
      </c>
      <c r="D79" s="160">
        <v>19330</v>
      </c>
      <c r="E79" s="160">
        <v>38400</v>
      </c>
      <c r="F79" s="160">
        <v>34109</v>
      </c>
      <c r="G79" s="160">
        <v>38538</v>
      </c>
      <c r="H79" s="160">
        <v>15367</v>
      </c>
      <c r="I79" s="160">
        <v>28222</v>
      </c>
      <c r="J79" s="160">
        <v>29382</v>
      </c>
      <c r="K79" s="160">
        <v>29045</v>
      </c>
      <c r="L79" s="160">
        <f t="shared" si="2"/>
        <v>23519.8</v>
      </c>
      <c r="M79" s="160">
        <f t="shared" si="3"/>
        <v>33977.800000000003</v>
      </c>
    </row>
    <row r="80" spans="1:13" x14ac:dyDescent="0.2">
      <c r="A80" s="160" t="s">
        <v>391</v>
      </c>
      <c r="B80" s="160">
        <v>13484</v>
      </c>
      <c r="C80" s="160">
        <v>13928</v>
      </c>
      <c r="D80" s="160">
        <v>9316</v>
      </c>
      <c r="E80" s="160">
        <v>9330</v>
      </c>
      <c r="F80" s="160">
        <v>17369</v>
      </c>
      <c r="G80" s="160">
        <v>17108</v>
      </c>
      <c r="H80" s="160">
        <v>13550</v>
      </c>
      <c r="I80" s="160">
        <v>15332</v>
      </c>
      <c r="J80" s="160">
        <v>15607</v>
      </c>
      <c r="K80" s="160">
        <v>15667</v>
      </c>
      <c r="L80" s="160">
        <f t="shared" si="2"/>
        <v>13865.2</v>
      </c>
      <c r="M80" s="160">
        <f t="shared" si="3"/>
        <v>14273</v>
      </c>
    </row>
    <row r="81" spans="1:13" x14ac:dyDescent="0.2">
      <c r="A81" s="160" t="s">
        <v>278</v>
      </c>
      <c r="B81" s="160">
        <v>8379</v>
      </c>
      <c r="C81" s="160">
        <v>8261</v>
      </c>
      <c r="D81" s="160">
        <v>9192</v>
      </c>
      <c r="E81" s="160">
        <v>9231</v>
      </c>
      <c r="F81" s="160">
        <v>7417</v>
      </c>
      <c r="G81" s="160">
        <v>7638</v>
      </c>
      <c r="H81" s="160">
        <v>8298</v>
      </c>
      <c r="I81" s="160">
        <v>8600</v>
      </c>
      <c r="J81" s="160">
        <v>8724</v>
      </c>
      <c r="K81" s="160">
        <v>8759</v>
      </c>
      <c r="L81" s="160">
        <f t="shared" si="2"/>
        <v>8402</v>
      </c>
      <c r="M81" s="160">
        <f t="shared" si="3"/>
        <v>8497.7999999999993</v>
      </c>
    </row>
    <row r="82" spans="1:13" x14ac:dyDescent="0.2">
      <c r="A82" s="160" t="s">
        <v>308</v>
      </c>
      <c r="B82" s="160">
        <v>1432</v>
      </c>
      <c r="C82" s="160">
        <v>1431</v>
      </c>
      <c r="D82" s="160">
        <v>2298</v>
      </c>
      <c r="E82" s="160">
        <v>2054</v>
      </c>
      <c r="F82" s="160">
        <v>1363</v>
      </c>
      <c r="G82" s="160">
        <v>1362</v>
      </c>
      <c r="H82" s="160">
        <v>420</v>
      </c>
      <c r="I82" s="160">
        <v>400</v>
      </c>
      <c r="J82" s="160">
        <v>110</v>
      </c>
      <c r="K82" s="160">
        <v>110</v>
      </c>
      <c r="L82" s="160">
        <f t="shared" si="2"/>
        <v>1124.5999999999999</v>
      </c>
      <c r="M82" s="160">
        <f t="shared" si="3"/>
        <v>1071.4000000000001</v>
      </c>
    </row>
    <row r="83" spans="1:13" x14ac:dyDescent="0.2">
      <c r="A83" s="160" t="s">
        <v>309</v>
      </c>
      <c r="B83" s="160">
        <v>25351</v>
      </c>
      <c r="C83" s="160">
        <v>37467</v>
      </c>
      <c r="D83" s="160">
        <v>49323</v>
      </c>
      <c r="E83" s="160">
        <v>63944</v>
      </c>
      <c r="F83" s="160">
        <v>42573</v>
      </c>
      <c r="G83" s="160">
        <v>48878</v>
      </c>
      <c r="H83" s="160">
        <v>23309</v>
      </c>
      <c r="I83" s="160">
        <v>25054</v>
      </c>
      <c r="J83" s="160">
        <v>25189</v>
      </c>
      <c r="K83" s="160">
        <v>25694</v>
      </c>
      <c r="L83" s="160">
        <f t="shared" si="2"/>
        <v>33149</v>
      </c>
      <c r="M83" s="160">
        <f t="shared" si="3"/>
        <v>40207.4</v>
      </c>
    </row>
    <row r="84" spans="1:13" x14ac:dyDescent="0.2">
      <c r="A84" s="160" t="s">
        <v>525</v>
      </c>
      <c r="B84" s="160">
        <v>8133</v>
      </c>
      <c r="C84" s="160">
        <v>8286</v>
      </c>
      <c r="D84" s="160">
        <v>10063</v>
      </c>
      <c r="E84" s="160">
        <v>10308</v>
      </c>
      <c r="F84" s="160">
        <v>5656</v>
      </c>
      <c r="G84" s="160">
        <v>5353</v>
      </c>
      <c r="H84" s="160">
        <v>8189</v>
      </c>
      <c r="I84" s="160">
        <v>13973</v>
      </c>
      <c r="J84" s="160">
        <v>3690</v>
      </c>
      <c r="K84" s="160">
        <v>3882</v>
      </c>
      <c r="L84" s="160">
        <f t="shared" si="2"/>
        <v>7146.2</v>
      </c>
      <c r="M84" s="160">
        <f t="shared" si="3"/>
        <v>8360.4</v>
      </c>
    </row>
    <row r="85" spans="1:13" x14ac:dyDescent="0.2">
      <c r="A85" s="160" t="s">
        <v>256</v>
      </c>
      <c r="B85" s="160">
        <v>1469</v>
      </c>
      <c r="C85" s="160">
        <v>1369</v>
      </c>
      <c r="D85" s="160">
        <v>2055</v>
      </c>
      <c r="E85" s="160">
        <v>1908</v>
      </c>
      <c r="F85" s="160">
        <v>2780</v>
      </c>
      <c r="G85" s="160">
        <v>3251</v>
      </c>
      <c r="H85" s="160">
        <v>1063</v>
      </c>
      <c r="I85" s="160">
        <v>1191</v>
      </c>
      <c r="J85" s="160">
        <v>1681</v>
      </c>
      <c r="K85" s="160">
        <v>1701</v>
      </c>
      <c r="L85" s="160">
        <f t="shared" si="2"/>
        <v>1809.6</v>
      </c>
      <c r="M85" s="160">
        <f t="shared" si="3"/>
        <v>1884</v>
      </c>
    </row>
    <row r="86" spans="1:13" x14ac:dyDescent="0.2">
      <c r="A86" s="160" t="s">
        <v>444</v>
      </c>
      <c r="B86" s="160">
        <v>38899</v>
      </c>
      <c r="C86" s="160">
        <v>46700</v>
      </c>
      <c r="D86" s="160">
        <v>34712</v>
      </c>
      <c r="E86" s="160">
        <v>32435</v>
      </c>
      <c r="F86" s="160">
        <v>50994</v>
      </c>
      <c r="G86" s="160">
        <v>84006</v>
      </c>
      <c r="H86" s="160">
        <v>50377</v>
      </c>
      <c r="I86" s="160">
        <v>94318</v>
      </c>
      <c r="J86" s="160">
        <v>51994</v>
      </c>
      <c r="K86" s="160">
        <v>47871</v>
      </c>
      <c r="L86" s="160">
        <f t="shared" si="2"/>
        <v>45395.199999999997</v>
      </c>
      <c r="M86" s="160">
        <f t="shared" si="3"/>
        <v>61066</v>
      </c>
    </row>
    <row r="87" spans="1:13" x14ac:dyDescent="0.2">
      <c r="A87" s="160" t="s">
        <v>392</v>
      </c>
      <c r="B87" s="160">
        <v>3399</v>
      </c>
      <c r="C87" s="160">
        <v>2813</v>
      </c>
      <c r="D87" s="160">
        <v>2142</v>
      </c>
      <c r="E87" s="160">
        <v>7120</v>
      </c>
      <c r="F87" s="160">
        <v>2744</v>
      </c>
      <c r="G87" s="160">
        <v>3037</v>
      </c>
      <c r="H87" s="160">
        <v>3292</v>
      </c>
      <c r="I87" s="160">
        <v>3152</v>
      </c>
      <c r="J87" s="160">
        <v>2718</v>
      </c>
      <c r="K87" s="160">
        <v>2141</v>
      </c>
      <c r="L87" s="160">
        <f t="shared" si="2"/>
        <v>2859</v>
      </c>
      <c r="M87" s="160">
        <f t="shared" si="3"/>
        <v>3652.6</v>
      </c>
    </row>
    <row r="88" spans="1:13" x14ac:dyDescent="0.2">
      <c r="A88" s="160" t="s">
        <v>526</v>
      </c>
      <c r="B88" s="160">
        <v>7391</v>
      </c>
      <c r="C88" s="160">
        <v>6028</v>
      </c>
      <c r="D88" s="160">
        <v>25089</v>
      </c>
      <c r="E88" s="160">
        <v>22499</v>
      </c>
      <c r="F88" s="160">
        <v>8473</v>
      </c>
      <c r="G88" s="160">
        <v>7651</v>
      </c>
      <c r="H88" s="160">
        <v>7977</v>
      </c>
      <c r="I88" s="160">
        <v>7825</v>
      </c>
      <c r="J88" s="160">
        <v>3819</v>
      </c>
      <c r="K88" s="160">
        <v>3185</v>
      </c>
      <c r="L88" s="160">
        <f t="shared" si="2"/>
        <v>10549.8</v>
      </c>
      <c r="M88" s="160">
        <f t="shared" si="3"/>
        <v>9437.6</v>
      </c>
    </row>
    <row r="89" spans="1:13" x14ac:dyDescent="0.2">
      <c r="A89" s="160" t="s">
        <v>607</v>
      </c>
      <c r="B89" s="160">
        <v>12767</v>
      </c>
      <c r="C89" s="160">
        <v>14109</v>
      </c>
      <c r="D89" s="160">
        <v>12456</v>
      </c>
      <c r="E89" s="160">
        <v>12651</v>
      </c>
      <c r="F89" s="160">
        <v>5287</v>
      </c>
      <c r="G89" s="160">
        <v>7546</v>
      </c>
      <c r="H89" s="160">
        <v>12250</v>
      </c>
      <c r="I89" s="160">
        <v>12923</v>
      </c>
      <c r="J89" s="160">
        <v>3041</v>
      </c>
      <c r="K89" s="160">
        <v>3138</v>
      </c>
      <c r="L89" s="160">
        <f t="shared" si="2"/>
        <v>9160.2000000000007</v>
      </c>
      <c r="M89" s="160">
        <f t="shared" si="3"/>
        <v>10073.4</v>
      </c>
    </row>
    <row r="90" spans="1:13" x14ac:dyDescent="0.2">
      <c r="A90" s="160" t="s">
        <v>310</v>
      </c>
      <c r="B90" s="160">
        <v>6969</v>
      </c>
      <c r="C90" s="160">
        <v>9012</v>
      </c>
      <c r="D90" s="160">
        <v>3082</v>
      </c>
      <c r="E90" s="160">
        <v>3273</v>
      </c>
      <c r="F90" s="160">
        <v>3153</v>
      </c>
      <c r="G90" s="160">
        <v>4990</v>
      </c>
      <c r="H90" s="160">
        <v>3814</v>
      </c>
      <c r="I90" s="160">
        <v>3488</v>
      </c>
      <c r="J90" s="160">
        <v>1088</v>
      </c>
      <c r="K90" s="160">
        <v>1418</v>
      </c>
      <c r="L90" s="160">
        <f t="shared" si="2"/>
        <v>3621.2</v>
      </c>
      <c r="M90" s="160">
        <f t="shared" si="3"/>
        <v>4436.2</v>
      </c>
    </row>
    <row r="91" spans="1:13" x14ac:dyDescent="0.2">
      <c r="A91" s="160" t="s">
        <v>311</v>
      </c>
      <c r="B91" s="160">
        <v>9770</v>
      </c>
      <c r="C91" s="160">
        <v>10398</v>
      </c>
      <c r="D91" s="160">
        <v>6668</v>
      </c>
      <c r="E91" s="160">
        <v>18037</v>
      </c>
      <c r="F91" s="160">
        <v>1760</v>
      </c>
      <c r="G91" s="160">
        <v>6483</v>
      </c>
      <c r="H91" s="160">
        <v>6630</v>
      </c>
      <c r="I91" s="160">
        <v>8645</v>
      </c>
      <c r="J91" s="160">
        <v>6075</v>
      </c>
      <c r="K91" s="160">
        <v>6181</v>
      </c>
      <c r="L91" s="160">
        <f t="shared" si="2"/>
        <v>6180.6</v>
      </c>
      <c r="M91" s="160">
        <f t="shared" si="3"/>
        <v>9948.7999999999993</v>
      </c>
    </row>
    <row r="92" spans="1:13" x14ac:dyDescent="0.2">
      <c r="A92" s="160" t="s">
        <v>577</v>
      </c>
      <c r="B92" s="160">
        <v>6123</v>
      </c>
      <c r="C92" s="160">
        <v>4640</v>
      </c>
      <c r="D92" s="160">
        <v>4432</v>
      </c>
      <c r="E92" s="160">
        <v>4514</v>
      </c>
      <c r="F92" s="160">
        <v>37775</v>
      </c>
      <c r="G92" s="160">
        <v>35837</v>
      </c>
      <c r="H92" s="160">
        <v>3093</v>
      </c>
      <c r="I92" s="160">
        <v>3364</v>
      </c>
      <c r="J92" s="160">
        <v>3048</v>
      </c>
      <c r="K92" s="160">
        <v>2777</v>
      </c>
      <c r="L92" s="160">
        <f t="shared" si="2"/>
        <v>10894.2</v>
      </c>
      <c r="M92" s="160">
        <f t="shared" si="3"/>
        <v>10226.4</v>
      </c>
    </row>
    <row r="93" spans="1:13" x14ac:dyDescent="0.2">
      <c r="A93" s="160" t="s">
        <v>393</v>
      </c>
      <c r="B93" s="160">
        <v>4568</v>
      </c>
      <c r="C93" s="160">
        <v>4210</v>
      </c>
      <c r="D93" s="160">
        <v>64513</v>
      </c>
      <c r="E93" s="160">
        <v>63340</v>
      </c>
      <c r="F93" s="160">
        <v>17670</v>
      </c>
      <c r="G93" s="160">
        <v>18815</v>
      </c>
      <c r="H93" s="160">
        <v>2644</v>
      </c>
      <c r="I93" s="160">
        <v>3232</v>
      </c>
      <c r="J93" s="160">
        <v>5639</v>
      </c>
      <c r="K93" s="160">
        <v>5355</v>
      </c>
      <c r="L93" s="160">
        <f t="shared" si="2"/>
        <v>19006.8</v>
      </c>
      <c r="M93" s="160">
        <f t="shared" si="3"/>
        <v>18990.400000000001</v>
      </c>
    </row>
    <row r="94" spans="1:13" x14ac:dyDescent="0.2">
      <c r="A94" s="160" t="s">
        <v>312</v>
      </c>
      <c r="B94" s="160">
        <v>36924</v>
      </c>
      <c r="C94" s="160">
        <v>51163</v>
      </c>
      <c r="D94" s="160">
        <v>66741</v>
      </c>
      <c r="E94" s="160">
        <v>81433</v>
      </c>
      <c r="F94" s="160">
        <v>25486</v>
      </c>
      <c r="G94" s="160">
        <v>45634</v>
      </c>
      <c r="H94" s="160">
        <v>40192</v>
      </c>
      <c r="I94" s="160">
        <v>32626</v>
      </c>
      <c r="J94" s="160">
        <v>30094</v>
      </c>
      <c r="K94" s="160">
        <v>34848</v>
      </c>
      <c r="L94" s="160">
        <f t="shared" si="2"/>
        <v>39887.4</v>
      </c>
      <c r="M94" s="160">
        <f t="shared" si="3"/>
        <v>49140.800000000003</v>
      </c>
    </row>
    <row r="95" spans="1:13" x14ac:dyDescent="0.2">
      <c r="A95" s="160" t="s">
        <v>360</v>
      </c>
      <c r="B95" s="160">
        <v>2902</v>
      </c>
      <c r="C95" s="160">
        <v>2962</v>
      </c>
      <c r="D95" s="160">
        <v>1540</v>
      </c>
      <c r="E95" s="160">
        <v>1591</v>
      </c>
      <c r="F95" s="160">
        <v>3203</v>
      </c>
      <c r="G95" s="160">
        <v>3277</v>
      </c>
      <c r="H95" s="160">
        <v>5419</v>
      </c>
      <c r="I95" s="160">
        <v>5810</v>
      </c>
      <c r="J95" s="160">
        <v>845</v>
      </c>
      <c r="K95" s="160">
        <v>923</v>
      </c>
      <c r="L95" s="160">
        <f t="shared" si="2"/>
        <v>2781.8</v>
      </c>
      <c r="M95" s="160">
        <f t="shared" si="3"/>
        <v>2912.6</v>
      </c>
    </row>
    <row r="96" spans="1:13" x14ac:dyDescent="0.2">
      <c r="A96" s="160" t="s">
        <v>234</v>
      </c>
      <c r="B96" s="160">
        <v>1545</v>
      </c>
      <c r="C96" s="160">
        <v>2114</v>
      </c>
      <c r="D96" s="160">
        <v>1052</v>
      </c>
      <c r="E96" s="160">
        <v>6376</v>
      </c>
      <c r="F96" s="160">
        <v>1334</v>
      </c>
      <c r="G96" s="160">
        <v>1974</v>
      </c>
      <c r="H96" s="160">
        <v>1922</v>
      </c>
      <c r="I96" s="160">
        <v>1070</v>
      </c>
      <c r="J96" s="160">
        <v>2132</v>
      </c>
      <c r="K96" s="160">
        <v>2228</v>
      </c>
      <c r="L96" s="160">
        <f t="shared" si="2"/>
        <v>1597</v>
      </c>
      <c r="M96" s="160">
        <f t="shared" si="3"/>
        <v>2752.4</v>
      </c>
    </row>
    <row r="97" spans="1:13" x14ac:dyDescent="0.2">
      <c r="A97" s="160" t="s">
        <v>527</v>
      </c>
      <c r="B97" s="160">
        <v>233</v>
      </c>
      <c r="C97" s="160">
        <v>30</v>
      </c>
      <c r="D97" s="160">
        <v>11629</v>
      </c>
      <c r="E97" s="160">
        <v>11356</v>
      </c>
      <c r="F97" s="160">
        <v>41</v>
      </c>
      <c r="G97" s="160">
        <v>572</v>
      </c>
      <c r="H97" s="160">
        <v>5278</v>
      </c>
      <c r="I97" s="160">
        <v>6804</v>
      </c>
      <c r="J97" s="160">
        <v>3714</v>
      </c>
      <c r="K97" s="160">
        <v>3260</v>
      </c>
      <c r="L97" s="160">
        <f t="shared" si="2"/>
        <v>4179</v>
      </c>
      <c r="M97" s="160">
        <f t="shared" si="3"/>
        <v>4404.3999999999996</v>
      </c>
    </row>
    <row r="98" spans="1:13" x14ac:dyDescent="0.2">
      <c r="A98" s="160" t="s">
        <v>578</v>
      </c>
      <c r="B98" s="160">
        <v>4155</v>
      </c>
      <c r="C98" s="160">
        <v>9964</v>
      </c>
      <c r="D98" s="160">
        <v>2337</v>
      </c>
      <c r="E98" s="160">
        <v>2395</v>
      </c>
      <c r="F98" s="160">
        <v>4333</v>
      </c>
      <c r="G98" s="160">
        <v>5009</v>
      </c>
      <c r="H98" s="160">
        <v>5873</v>
      </c>
      <c r="I98" s="160">
        <v>5984</v>
      </c>
      <c r="J98" s="160">
        <v>2942</v>
      </c>
      <c r="K98" s="160">
        <v>2938</v>
      </c>
      <c r="L98" s="160">
        <f t="shared" si="2"/>
        <v>3928</v>
      </c>
      <c r="M98" s="160">
        <f t="shared" si="3"/>
        <v>5258</v>
      </c>
    </row>
    <row r="99" spans="1:13" x14ac:dyDescent="0.2">
      <c r="A99" s="160" t="s">
        <v>528</v>
      </c>
      <c r="B99" s="160">
        <v>89424</v>
      </c>
      <c r="C99" s="160">
        <v>86852</v>
      </c>
      <c r="D99" s="160">
        <v>40715</v>
      </c>
      <c r="E99" s="160">
        <v>40495</v>
      </c>
      <c r="F99" s="160">
        <v>88428</v>
      </c>
      <c r="G99" s="160">
        <v>63759</v>
      </c>
      <c r="H99" s="160">
        <v>-65471</v>
      </c>
      <c r="I99" s="160">
        <v>63013</v>
      </c>
      <c r="J99" s="160">
        <v>67644</v>
      </c>
      <c r="K99" s="160">
        <v>72266</v>
      </c>
      <c r="L99" s="160">
        <f t="shared" si="2"/>
        <v>44148</v>
      </c>
      <c r="M99" s="160">
        <f t="shared" si="3"/>
        <v>65277</v>
      </c>
    </row>
    <row r="100" spans="1:13" x14ac:dyDescent="0.2">
      <c r="A100" s="160" t="s">
        <v>313</v>
      </c>
      <c r="B100" s="160">
        <v>6837</v>
      </c>
      <c r="C100" s="160">
        <v>7358</v>
      </c>
      <c r="D100" s="160">
        <v>6540</v>
      </c>
      <c r="E100" s="160">
        <v>9207</v>
      </c>
      <c r="F100" s="160">
        <v>2757</v>
      </c>
      <c r="G100" s="160">
        <v>3306</v>
      </c>
      <c r="H100" s="160">
        <v>1818</v>
      </c>
      <c r="I100" s="160">
        <v>2109</v>
      </c>
      <c r="J100" s="160">
        <v>724</v>
      </c>
      <c r="K100" s="160">
        <v>724</v>
      </c>
      <c r="L100" s="160">
        <f t="shared" si="2"/>
        <v>3735.2</v>
      </c>
      <c r="M100" s="160">
        <f t="shared" si="3"/>
        <v>4540.8</v>
      </c>
    </row>
    <row r="101" spans="1:13" x14ac:dyDescent="0.2">
      <c r="A101" s="160" t="s">
        <v>220</v>
      </c>
      <c r="B101" s="160">
        <v>32553</v>
      </c>
      <c r="C101" s="160">
        <v>32358</v>
      </c>
      <c r="D101" s="160">
        <v>53917</v>
      </c>
      <c r="E101" s="160">
        <v>65894</v>
      </c>
      <c r="F101" s="160">
        <v>37994</v>
      </c>
      <c r="G101" s="160">
        <v>40393</v>
      </c>
      <c r="H101" s="160">
        <v>36831</v>
      </c>
      <c r="I101" s="160">
        <v>52604</v>
      </c>
      <c r="J101" s="160">
        <v>11474</v>
      </c>
      <c r="K101" s="160">
        <v>12225</v>
      </c>
      <c r="L101" s="160">
        <f t="shared" si="2"/>
        <v>34553.800000000003</v>
      </c>
      <c r="M101" s="160">
        <f t="shared" si="3"/>
        <v>40694.800000000003</v>
      </c>
    </row>
    <row r="102" spans="1:13" x14ac:dyDescent="0.2">
      <c r="A102" s="160" t="s">
        <v>394</v>
      </c>
      <c r="B102" s="160">
        <v>1415</v>
      </c>
      <c r="C102" s="160">
        <v>1206</v>
      </c>
      <c r="D102" s="160">
        <v>1524</v>
      </c>
      <c r="E102" s="160">
        <v>1870</v>
      </c>
      <c r="F102" s="160">
        <v>2358</v>
      </c>
      <c r="G102" s="160">
        <v>1845</v>
      </c>
      <c r="H102" s="160">
        <v>809</v>
      </c>
      <c r="I102" s="160">
        <v>1128</v>
      </c>
      <c r="J102" s="160">
        <v>1839</v>
      </c>
      <c r="K102" s="160">
        <v>1811</v>
      </c>
      <c r="L102" s="160">
        <f t="shared" si="2"/>
        <v>1589</v>
      </c>
      <c r="M102" s="160">
        <f t="shared" si="3"/>
        <v>1572</v>
      </c>
    </row>
    <row r="103" spans="1:13" x14ac:dyDescent="0.2">
      <c r="A103" s="160" t="s">
        <v>279</v>
      </c>
      <c r="B103" s="160">
        <v>68081</v>
      </c>
      <c r="C103" s="160">
        <v>82831</v>
      </c>
      <c r="D103" s="160">
        <v>52336</v>
      </c>
      <c r="E103" s="160">
        <v>72605</v>
      </c>
      <c r="F103" s="160">
        <v>51379</v>
      </c>
      <c r="G103" s="160">
        <v>111169</v>
      </c>
      <c r="H103" s="160">
        <v>64629</v>
      </c>
      <c r="I103" s="160">
        <v>63083</v>
      </c>
      <c r="J103" s="160">
        <v>27750</v>
      </c>
      <c r="K103" s="160">
        <v>29612</v>
      </c>
      <c r="L103" s="160">
        <f t="shared" si="2"/>
        <v>52835</v>
      </c>
      <c r="M103" s="160">
        <f t="shared" si="3"/>
        <v>71860</v>
      </c>
    </row>
    <row r="104" spans="1:13" x14ac:dyDescent="0.2">
      <c r="A104" s="160" t="s">
        <v>314</v>
      </c>
      <c r="B104" s="160">
        <v>2956</v>
      </c>
      <c r="C104" s="160">
        <v>6992</v>
      </c>
      <c r="D104" s="160">
        <v>2987</v>
      </c>
      <c r="E104" s="160">
        <v>3303</v>
      </c>
      <c r="F104" s="160">
        <v>5731</v>
      </c>
      <c r="G104" s="160">
        <v>6398</v>
      </c>
      <c r="H104" s="160">
        <v>2281</v>
      </c>
      <c r="I104" s="160">
        <v>2035</v>
      </c>
      <c r="J104" s="160">
        <v>2567</v>
      </c>
      <c r="K104" s="160">
        <v>2619</v>
      </c>
      <c r="L104" s="160">
        <f t="shared" si="2"/>
        <v>3304.4</v>
      </c>
      <c r="M104" s="160">
        <f t="shared" si="3"/>
        <v>4269.3999999999996</v>
      </c>
    </row>
    <row r="105" spans="1:13" x14ac:dyDescent="0.2">
      <c r="A105" s="160" t="s">
        <v>315</v>
      </c>
      <c r="B105" s="160">
        <v>6888</v>
      </c>
      <c r="C105" s="160">
        <v>5064</v>
      </c>
      <c r="D105" s="160">
        <v>2500</v>
      </c>
      <c r="E105" s="160">
        <v>2179</v>
      </c>
      <c r="F105" s="160">
        <v>2434</v>
      </c>
      <c r="G105" s="160">
        <v>2103</v>
      </c>
      <c r="H105" s="160">
        <v>5331</v>
      </c>
      <c r="I105" s="160">
        <v>4980</v>
      </c>
      <c r="J105" s="160">
        <v>449</v>
      </c>
      <c r="K105" s="160">
        <v>1225</v>
      </c>
      <c r="L105" s="160">
        <f t="shared" si="2"/>
        <v>3520.4</v>
      </c>
      <c r="M105" s="160">
        <f t="shared" si="3"/>
        <v>3110.2</v>
      </c>
    </row>
    <row r="106" spans="1:13" x14ac:dyDescent="0.2">
      <c r="A106" s="160" t="s">
        <v>529</v>
      </c>
      <c r="B106" s="160">
        <v>27820</v>
      </c>
      <c r="C106" s="160">
        <v>26227</v>
      </c>
      <c r="D106" s="160">
        <v>45615</v>
      </c>
      <c r="E106" s="160">
        <v>46198</v>
      </c>
      <c r="F106" s="160">
        <v>18962</v>
      </c>
      <c r="G106" s="160">
        <v>20618</v>
      </c>
      <c r="H106" s="160">
        <v>8105</v>
      </c>
      <c r="I106" s="160">
        <v>10232</v>
      </c>
      <c r="J106" s="160">
        <v>15533</v>
      </c>
      <c r="K106" s="160">
        <v>16240</v>
      </c>
      <c r="L106" s="160">
        <f t="shared" si="2"/>
        <v>23207</v>
      </c>
      <c r="M106" s="160">
        <f t="shared" si="3"/>
        <v>23903</v>
      </c>
    </row>
    <row r="107" spans="1:13" x14ac:dyDescent="0.2">
      <c r="A107" s="160" t="s">
        <v>257</v>
      </c>
      <c r="B107" s="160">
        <v>3</v>
      </c>
      <c r="C107" s="160">
        <v>1</v>
      </c>
      <c r="D107" s="160">
        <v>38</v>
      </c>
      <c r="E107" s="160">
        <v>0</v>
      </c>
      <c r="F107" s="160">
        <v>256</v>
      </c>
      <c r="G107" s="160">
        <v>2</v>
      </c>
      <c r="H107" s="160">
        <v>159</v>
      </c>
      <c r="I107" s="160">
        <v>23</v>
      </c>
      <c r="J107" s="160">
        <v>0</v>
      </c>
      <c r="K107" s="160">
        <v>2</v>
      </c>
      <c r="L107" s="160">
        <f t="shared" si="2"/>
        <v>91.2</v>
      </c>
      <c r="M107" s="160">
        <f t="shared" si="3"/>
        <v>5.6</v>
      </c>
    </row>
    <row r="108" spans="1:13" x14ac:dyDescent="0.2">
      <c r="A108" s="160" t="s">
        <v>258</v>
      </c>
      <c r="B108" s="160">
        <v>4372</v>
      </c>
      <c r="C108" s="160">
        <v>4863</v>
      </c>
      <c r="D108" s="160">
        <v>2119</v>
      </c>
      <c r="E108" s="160">
        <v>2700</v>
      </c>
      <c r="F108" s="160">
        <v>2280</v>
      </c>
      <c r="G108" s="160">
        <v>2663</v>
      </c>
      <c r="H108" s="160">
        <v>2847</v>
      </c>
      <c r="I108" s="160">
        <v>6729</v>
      </c>
      <c r="J108" s="160">
        <v>4875</v>
      </c>
      <c r="K108" s="160">
        <v>5168</v>
      </c>
      <c r="L108" s="160">
        <f t="shared" si="2"/>
        <v>3298.6</v>
      </c>
      <c r="M108" s="160">
        <f t="shared" si="3"/>
        <v>4424.6000000000004</v>
      </c>
    </row>
    <row r="109" spans="1:13" x14ac:dyDescent="0.2">
      <c r="A109" s="160" t="s">
        <v>530</v>
      </c>
      <c r="B109" s="160">
        <v>4062</v>
      </c>
      <c r="C109" s="160">
        <v>3288</v>
      </c>
      <c r="D109" s="160">
        <v>1221</v>
      </c>
      <c r="E109" s="160">
        <v>763</v>
      </c>
      <c r="F109" s="160">
        <v>145</v>
      </c>
      <c r="G109" s="160">
        <v>374</v>
      </c>
      <c r="H109" s="160">
        <v>2770</v>
      </c>
      <c r="I109" s="160">
        <v>2712</v>
      </c>
      <c r="J109" s="160">
        <v>823</v>
      </c>
      <c r="K109" s="160">
        <v>850</v>
      </c>
      <c r="L109" s="160">
        <f t="shared" si="2"/>
        <v>1804.2</v>
      </c>
      <c r="M109" s="160">
        <f t="shared" si="3"/>
        <v>1597.4</v>
      </c>
    </row>
    <row r="110" spans="1:13" x14ac:dyDescent="0.2">
      <c r="A110" s="160" t="s">
        <v>316</v>
      </c>
      <c r="B110" s="160">
        <v>9084</v>
      </c>
      <c r="C110" s="160">
        <v>10466</v>
      </c>
      <c r="D110" s="160">
        <v>18093</v>
      </c>
      <c r="E110" s="160">
        <v>18753</v>
      </c>
      <c r="F110" s="160">
        <v>15081</v>
      </c>
      <c r="G110" s="160">
        <v>36739</v>
      </c>
      <c r="H110" s="160">
        <v>5948</v>
      </c>
      <c r="I110" s="160">
        <v>12235</v>
      </c>
      <c r="J110" s="160">
        <v>8877</v>
      </c>
      <c r="K110" s="160">
        <v>9056</v>
      </c>
      <c r="L110" s="160">
        <f t="shared" si="2"/>
        <v>11416.6</v>
      </c>
      <c r="M110" s="160">
        <f t="shared" si="3"/>
        <v>17449.8</v>
      </c>
    </row>
    <row r="111" spans="1:13" x14ac:dyDescent="0.2">
      <c r="A111" s="160" t="s">
        <v>531</v>
      </c>
      <c r="B111" s="160">
        <v>16673</v>
      </c>
      <c r="C111" s="160">
        <v>17193</v>
      </c>
      <c r="D111" s="160">
        <v>7849</v>
      </c>
      <c r="E111" s="160">
        <v>11349</v>
      </c>
      <c r="F111" s="160">
        <v>5118</v>
      </c>
      <c r="G111" s="160">
        <v>11144</v>
      </c>
      <c r="H111" s="160">
        <v>5825</v>
      </c>
      <c r="I111" s="160">
        <v>11031</v>
      </c>
      <c r="J111" s="160">
        <v>4283</v>
      </c>
      <c r="K111" s="160">
        <v>4283</v>
      </c>
      <c r="L111" s="160">
        <f t="shared" si="2"/>
        <v>7949.6</v>
      </c>
      <c r="M111" s="160">
        <f t="shared" si="3"/>
        <v>11000</v>
      </c>
    </row>
    <row r="112" spans="1:13" x14ac:dyDescent="0.2">
      <c r="A112" s="160" t="s">
        <v>532</v>
      </c>
      <c r="B112" s="160">
        <v>13284</v>
      </c>
      <c r="C112" s="160">
        <v>15044</v>
      </c>
      <c r="D112" s="160">
        <v>11332</v>
      </c>
      <c r="E112" s="160">
        <v>11938</v>
      </c>
      <c r="F112" s="160">
        <v>-1618</v>
      </c>
      <c r="G112" s="160">
        <v>10483</v>
      </c>
      <c r="H112" s="160">
        <v>4013</v>
      </c>
      <c r="I112" s="160">
        <v>5723</v>
      </c>
      <c r="J112" s="160">
        <v>7326</v>
      </c>
      <c r="K112" s="160">
        <v>7415</v>
      </c>
      <c r="L112" s="160">
        <f t="shared" si="2"/>
        <v>6867.4</v>
      </c>
      <c r="M112" s="160">
        <f t="shared" si="3"/>
        <v>10120.6</v>
      </c>
    </row>
    <row r="113" spans="1:13" x14ac:dyDescent="0.2">
      <c r="A113" s="160" t="s">
        <v>579</v>
      </c>
      <c r="B113" s="160">
        <v>5285</v>
      </c>
      <c r="C113" s="160">
        <v>7930</v>
      </c>
      <c r="D113" s="160">
        <v>5127</v>
      </c>
      <c r="E113" s="160">
        <v>11343</v>
      </c>
      <c r="F113" s="160">
        <v>1583</v>
      </c>
      <c r="G113" s="160">
        <v>2792</v>
      </c>
      <c r="H113" s="160">
        <v>7080</v>
      </c>
      <c r="I113" s="160">
        <v>7061</v>
      </c>
      <c r="J113" s="160">
        <v>1065</v>
      </c>
      <c r="K113" s="160">
        <v>1072</v>
      </c>
      <c r="L113" s="160">
        <f t="shared" si="2"/>
        <v>4028</v>
      </c>
      <c r="M113" s="160">
        <f t="shared" si="3"/>
        <v>6039.6</v>
      </c>
    </row>
    <row r="114" spans="1:13" x14ac:dyDescent="0.2">
      <c r="A114" s="160" t="s">
        <v>445</v>
      </c>
      <c r="B114" s="160">
        <v>1969</v>
      </c>
      <c r="C114" s="160">
        <v>1985</v>
      </c>
      <c r="D114" s="160">
        <v>1581</v>
      </c>
      <c r="E114" s="160">
        <v>2801</v>
      </c>
      <c r="F114" s="160">
        <v>1826</v>
      </c>
      <c r="G114" s="160">
        <v>4157</v>
      </c>
      <c r="H114" s="160">
        <v>896</v>
      </c>
      <c r="I114" s="160">
        <v>1634</v>
      </c>
      <c r="J114" s="160">
        <v>27</v>
      </c>
      <c r="K114" s="160">
        <v>105</v>
      </c>
      <c r="L114" s="160">
        <f t="shared" si="2"/>
        <v>1259.8</v>
      </c>
      <c r="M114" s="160">
        <f t="shared" si="3"/>
        <v>2136.4</v>
      </c>
    </row>
    <row r="115" spans="1:13" x14ac:dyDescent="0.2">
      <c r="A115" s="160" t="s">
        <v>533</v>
      </c>
      <c r="B115" s="160">
        <v>12713</v>
      </c>
      <c r="C115" s="160">
        <v>12813</v>
      </c>
      <c r="D115" s="160">
        <v>6700</v>
      </c>
      <c r="E115" s="160">
        <v>5602</v>
      </c>
      <c r="F115" s="160">
        <v>7594</v>
      </c>
      <c r="G115" s="160">
        <v>9086</v>
      </c>
      <c r="H115" s="160">
        <v>3572</v>
      </c>
      <c r="I115" s="160">
        <v>4268</v>
      </c>
      <c r="J115" s="160">
        <v>6754</v>
      </c>
      <c r="K115" s="160">
        <v>6652</v>
      </c>
      <c r="L115" s="160">
        <f t="shared" si="2"/>
        <v>7466.6</v>
      </c>
      <c r="M115" s="160">
        <f t="shared" si="3"/>
        <v>7684.2</v>
      </c>
    </row>
    <row r="116" spans="1:13" x14ac:dyDescent="0.2">
      <c r="A116" s="160" t="s">
        <v>446</v>
      </c>
      <c r="B116" s="160">
        <v>6830</v>
      </c>
      <c r="C116" s="160">
        <v>6576</v>
      </c>
      <c r="D116" s="160">
        <v>8344</v>
      </c>
      <c r="E116" s="160">
        <v>7879</v>
      </c>
      <c r="F116" s="160">
        <v>5819</v>
      </c>
      <c r="G116" s="160">
        <v>6019</v>
      </c>
      <c r="H116" s="160">
        <v>5700</v>
      </c>
      <c r="I116" s="160">
        <v>8649</v>
      </c>
      <c r="J116" s="160">
        <v>0</v>
      </c>
      <c r="K116" s="160">
        <v>0</v>
      </c>
      <c r="L116" s="160">
        <f t="shared" si="2"/>
        <v>5338.6</v>
      </c>
      <c r="M116" s="160">
        <f t="shared" si="3"/>
        <v>5824.6</v>
      </c>
    </row>
    <row r="117" spans="1:13" x14ac:dyDescent="0.2">
      <c r="A117" s="160" t="s">
        <v>497</v>
      </c>
      <c r="B117" s="160">
        <v>8727</v>
      </c>
      <c r="C117" s="160">
        <v>7554</v>
      </c>
      <c r="D117" s="160">
        <v>18043</v>
      </c>
      <c r="E117" s="160">
        <v>14801</v>
      </c>
      <c r="F117" s="160">
        <v>7793</v>
      </c>
      <c r="G117" s="160">
        <v>7421</v>
      </c>
      <c r="H117" s="160">
        <v>5486</v>
      </c>
      <c r="I117" s="160">
        <v>4999</v>
      </c>
      <c r="J117" s="160">
        <v>16460</v>
      </c>
      <c r="K117" s="160">
        <v>14817</v>
      </c>
      <c r="L117" s="160">
        <f t="shared" si="2"/>
        <v>11301.8</v>
      </c>
      <c r="M117" s="160">
        <f t="shared" si="3"/>
        <v>9918.4</v>
      </c>
    </row>
    <row r="118" spans="1:13" x14ac:dyDescent="0.2">
      <c r="A118" s="160" t="s">
        <v>534</v>
      </c>
      <c r="B118" s="160">
        <v>10754</v>
      </c>
      <c r="C118" s="160">
        <v>10770</v>
      </c>
      <c r="D118" s="160">
        <v>5927</v>
      </c>
      <c r="E118" s="160">
        <v>6493</v>
      </c>
      <c r="F118" s="160">
        <v>7330</v>
      </c>
      <c r="G118" s="160">
        <v>7523</v>
      </c>
      <c r="H118" s="160">
        <v>5785</v>
      </c>
      <c r="I118" s="160">
        <v>6248</v>
      </c>
      <c r="J118" s="160">
        <v>8581</v>
      </c>
      <c r="K118" s="160">
        <v>8871</v>
      </c>
      <c r="L118" s="160">
        <f t="shared" si="2"/>
        <v>7675.4</v>
      </c>
      <c r="M118" s="160">
        <f t="shared" si="3"/>
        <v>7981</v>
      </c>
    </row>
    <row r="119" spans="1:13" x14ac:dyDescent="0.2">
      <c r="A119" s="160" t="s">
        <v>447</v>
      </c>
      <c r="B119" s="160">
        <v>34563</v>
      </c>
      <c r="C119" s="160">
        <v>35696</v>
      </c>
      <c r="D119" s="160">
        <v>105255</v>
      </c>
      <c r="E119" s="160">
        <v>115324</v>
      </c>
      <c r="F119" s="160">
        <v>41115</v>
      </c>
      <c r="G119" s="160">
        <v>54280</v>
      </c>
      <c r="H119" s="160">
        <v>20926</v>
      </c>
      <c r="I119" s="160">
        <v>25136</v>
      </c>
      <c r="J119" s="160">
        <v>28245</v>
      </c>
      <c r="K119" s="160">
        <v>27004</v>
      </c>
      <c r="L119" s="160">
        <f t="shared" si="2"/>
        <v>46020.800000000003</v>
      </c>
      <c r="M119" s="160">
        <f t="shared" si="3"/>
        <v>51488</v>
      </c>
    </row>
    <row r="120" spans="1:13" x14ac:dyDescent="0.2">
      <c r="A120" s="160" t="s">
        <v>448</v>
      </c>
      <c r="B120" s="160">
        <v>17570</v>
      </c>
      <c r="C120" s="160">
        <v>21893</v>
      </c>
      <c r="D120" s="160">
        <v>57171</v>
      </c>
      <c r="E120" s="160">
        <v>68048</v>
      </c>
      <c r="F120" s="160">
        <v>26633</v>
      </c>
      <c r="G120" s="160">
        <v>29227</v>
      </c>
      <c r="H120" s="160">
        <v>6028</v>
      </c>
      <c r="I120" s="160">
        <v>6580</v>
      </c>
      <c r="J120" s="160">
        <v>14427</v>
      </c>
      <c r="K120" s="160">
        <v>14427</v>
      </c>
      <c r="L120" s="160">
        <f t="shared" si="2"/>
        <v>24365.8</v>
      </c>
      <c r="M120" s="160">
        <f t="shared" si="3"/>
        <v>28035</v>
      </c>
    </row>
    <row r="121" spans="1:13" x14ac:dyDescent="0.2">
      <c r="A121" s="160" t="s">
        <v>535</v>
      </c>
      <c r="B121" s="160">
        <v>4122</v>
      </c>
      <c r="C121" s="160">
        <v>6437</v>
      </c>
      <c r="D121" s="160">
        <v>12502</v>
      </c>
      <c r="E121" s="160">
        <v>14030</v>
      </c>
      <c r="F121" s="160">
        <v>2116</v>
      </c>
      <c r="G121" s="160">
        <v>2234</v>
      </c>
      <c r="H121" s="160">
        <v>973</v>
      </c>
      <c r="I121" s="160">
        <v>888</v>
      </c>
      <c r="J121" s="160">
        <v>281</v>
      </c>
      <c r="K121" s="160">
        <v>283</v>
      </c>
      <c r="L121" s="160">
        <f t="shared" si="2"/>
        <v>3998.8</v>
      </c>
      <c r="M121" s="160">
        <f t="shared" si="3"/>
        <v>4774.3999999999996</v>
      </c>
    </row>
    <row r="122" spans="1:13" x14ac:dyDescent="0.2">
      <c r="A122" s="160" t="s">
        <v>317</v>
      </c>
      <c r="B122" s="160">
        <v>5645</v>
      </c>
      <c r="C122" s="160">
        <v>5843</v>
      </c>
      <c r="D122" s="160">
        <v>6365</v>
      </c>
      <c r="E122" s="160">
        <v>5708</v>
      </c>
      <c r="F122" s="160">
        <v>4180</v>
      </c>
      <c r="G122" s="160">
        <v>4161</v>
      </c>
      <c r="H122" s="160">
        <v>5403</v>
      </c>
      <c r="I122" s="160">
        <v>5824</v>
      </c>
      <c r="J122" s="160">
        <v>400</v>
      </c>
      <c r="K122" s="160">
        <v>1175</v>
      </c>
      <c r="L122" s="160">
        <v>4398.5999999999995</v>
      </c>
      <c r="M122" s="160">
        <v>4542.2</v>
      </c>
    </row>
    <row r="123" spans="1:13" x14ac:dyDescent="0.2">
      <c r="A123" s="160" t="s">
        <v>235</v>
      </c>
      <c r="B123" s="160">
        <v>13748</v>
      </c>
      <c r="C123" s="160">
        <v>55031</v>
      </c>
      <c r="D123" s="160">
        <v>3700</v>
      </c>
      <c r="E123" s="160">
        <v>1070</v>
      </c>
      <c r="F123" s="160">
        <v>10112</v>
      </c>
      <c r="G123" s="160">
        <v>36757</v>
      </c>
      <c r="H123" s="160">
        <v>17523</v>
      </c>
      <c r="I123" s="160">
        <v>35469</v>
      </c>
      <c r="J123" s="160">
        <v>3019</v>
      </c>
      <c r="K123" s="160">
        <v>8022</v>
      </c>
      <c r="L123" s="160">
        <f t="shared" si="2"/>
        <v>9620.4</v>
      </c>
      <c r="M123" s="160">
        <f t="shared" si="3"/>
        <v>27269.8</v>
      </c>
    </row>
    <row r="124" spans="1:13" x14ac:dyDescent="0.2">
      <c r="A124" s="160" t="s">
        <v>236</v>
      </c>
      <c r="B124" s="160">
        <v>3825</v>
      </c>
      <c r="C124" s="160">
        <v>3770</v>
      </c>
      <c r="D124" s="160">
        <v>1708</v>
      </c>
      <c r="E124" s="160">
        <v>3012</v>
      </c>
      <c r="F124" s="160">
        <v>2047</v>
      </c>
      <c r="G124" s="160">
        <v>1407</v>
      </c>
      <c r="H124" s="160">
        <v>688</v>
      </c>
      <c r="I124" s="160">
        <v>439</v>
      </c>
      <c r="J124" s="160">
        <v>191</v>
      </c>
      <c r="K124" s="160">
        <v>191</v>
      </c>
      <c r="L124" s="160">
        <f t="shared" si="2"/>
        <v>1691.8</v>
      </c>
      <c r="M124" s="160">
        <f t="shared" si="3"/>
        <v>1763.8</v>
      </c>
    </row>
    <row r="125" spans="1:13" x14ac:dyDescent="0.2">
      <c r="A125" s="160" t="s">
        <v>580</v>
      </c>
      <c r="B125" s="160">
        <v>725</v>
      </c>
      <c r="C125" s="160">
        <v>1243</v>
      </c>
      <c r="D125" s="160">
        <v>1736</v>
      </c>
      <c r="E125" s="160">
        <v>957</v>
      </c>
      <c r="F125" s="160">
        <v>276</v>
      </c>
      <c r="G125" s="160">
        <v>1876</v>
      </c>
      <c r="H125" s="160">
        <v>564</v>
      </c>
      <c r="I125" s="160">
        <v>51</v>
      </c>
      <c r="J125" s="160">
        <v>0</v>
      </c>
      <c r="K125" s="160">
        <v>6</v>
      </c>
      <c r="L125" s="160">
        <f t="shared" si="2"/>
        <v>660.2</v>
      </c>
      <c r="M125" s="160">
        <f t="shared" si="3"/>
        <v>826.6</v>
      </c>
    </row>
    <row r="126" spans="1:13" x14ac:dyDescent="0.2">
      <c r="A126" s="160" t="s">
        <v>280</v>
      </c>
      <c r="B126" s="160">
        <v>2005</v>
      </c>
      <c r="C126" s="160">
        <v>13321</v>
      </c>
      <c r="D126" s="160">
        <v>1028</v>
      </c>
      <c r="E126" s="160">
        <v>5526</v>
      </c>
      <c r="F126" s="160">
        <v>1648</v>
      </c>
      <c r="G126" s="160">
        <v>1478</v>
      </c>
      <c r="H126" s="160">
        <v>1527</v>
      </c>
      <c r="I126" s="160">
        <v>1559</v>
      </c>
      <c r="J126" s="160">
        <v>0</v>
      </c>
      <c r="K126" s="160">
        <v>148</v>
      </c>
      <c r="L126" s="160">
        <f t="shared" si="2"/>
        <v>1241.5999999999999</v>
      </c>
      <c r="M126" s="160">
        <f t="shared" si="3"/>
        <v>4406.3999999999996</v>
      </c>
    </row>
    <row r="127" spans="1:13" x14ac:dyDescent="0.2">
      <c r="A127" s="160" t="s">
        <v>536</v>
      </c>
      <c r="B127" s="160">
        <v>4054</v>
      </c>
      <c r="C127" s="160">
        <v>7039</v>
      </c>
      <c r="D127" s="160">
        <v>5687</v>
      </c>
      <c r="E127" s="160">
        <v>5999</v>
      </c>
      <c r="F127" s="160">
        <v>5494</v>
      </c>
      <c r="G127" s="160">
        <v>5609</v>
      </c>
      <c r="H127" s="160">
        <v>2267</v>
      </c>
      <c r="I127" s="160">
        <v>2430</v>
      </c>
      <c r="J127" s="160">
        <v>5976</v>
      </c>
      <c r="K127" s="160">
        <v>5984</v>
      </c>
      <c r="L127" s="160">
        <f t="shared" si="2"/>
        <v>4695.6000000000004</v>
      </c>
      <c r="M127" s="160">
        <f t="shared" si="3"/>
        <v>5412.2</v>
      </c>
    </row>
    <row r="128" spans="1:13" x14ac:dyDescent="0.2">
      <c r="A128" s="160" t="s">
        <v>396</v>
      </c>
      <c r="B128" s="160">
        <v>22096</v>
      </c>
      <c r="C128" s="160">
        <v>22444</v>
      </c>
      <c r="D128" s="160">
        <v>32899</v>
      </c>
      <c r="E128" s="160">
        <v>36777</v>
      </c>
      <c r="F128" s="160">
        <v>31278</v>
      </c>
      <c r="G128" s="160">
        <v>33453</v>
      </c>
      <c r="H128" s="160">
        <v>21097</v>
      </c>
      <c r="I128" s="160">
        <v>23736</v>
      </c>
      <c r="J128" s="160">
        <v>31623</v>
      </c>
      <c r="K128" s="160">
        <v>31947</v>
      </c>
      <c r="L128" s="160">
        <f t="shared" ref="L128:L192" si="4">SUM(B128,D128,F128,H128,J128)/5</f>
        <v>27798.6</v>
      </c>
      <c r="M128" s="160">
        <f t="shared" ref="M128:M192" si="5">SUM(C128,E128,G128,I128,K128)/5</f>
        <v>29671.4</v>
      </c>
    </row>
    <row r="129" spans="1:14" x14ac:dyDescent="0.2">
      <c r="A129" s="160" t="s">
        <v>616</v>
      </c>
      <c r="B129" s="160">
        <v>106</v>
      </c>
      <c r="C129" s="160">
        <v>618</v>
      </c>
      <c r="D129" s="160">
        <v>1199</v>
      </c>
      <c r="E129" s="160">
        <v>680</v>
      </c>
      <c r="F129" s="160">
        <v>174</v>
      </c>
      <c r="G129" s="160">
        <v>870</v>
      </c>
      <c r="H129" s="160">
        <v>475</v>
      </c>
      <c r="I129" s="160">
        <v>587</v>
      </c>
      <c r="J129" s="160">
        <v>208</v>
      </c>
      <c r="K129" s="160">
        <v>316</v>
      </c>
      <c r="L129" s="160">
        <f t="shared" si="4"/>
        <v>432.4</v>
      </c>
      <c r="M129" s="160">
        <f t="shared" si="5"/>
        <v>614.20000000000005</v>
      </c>
    </row>
    <row r="130" spans="1:14" x14ac:dyDescent="0.2">
      <c r="A130" s="160" t="s">
        <v>398</v>
      </c>
      <c r="B130" s="160">
        <v>116650</v>
      </c>
      <c r="C130" s="160">
        <v>87946</v>
      </c>
      <c r="D130" s="160">
        <v>86119</v>
      </c>
      <c r="E130" s="160">
        <v>64508</v>
      </c>
      <c r="F130" s="160">
        <v>75219</v>
      </c>
      <c r="G130" s="160">
        <v>101200</v>
      </c>
      <c r="H130" s="160">
        <v>61725</v>
      </c>
      <c r="I130" s="160">
        <v>59986</v>
      </c>
      <c r="J130" s="160">
        <v>39867</v>
      </c>
      <c r="K130" s="160">
        <v>32786</v>
      </c>
      <c r="L130" s="160">
        <f t="shared" si="4"/>
        <v>75916</v>
      </c>
      <c r="M130" s="160">
        <f t="shared" si="5"/>
        <v>69285.2</v>
      </c>
    </row>
    <row r="131" spans="1:14" x14ac:dyDescent="0.2">
      <c r="A131" s="160" t="s">
        <v>537</v>
      </c>
      <c r="B131" s="160">
        <v>29164</v>
      </c>
      <c r="C131" s="160">
        <v>36478</v>
      </c>
      <c r="D131" s="160">
        <v>30056</v>
      </c>
      <c r="E131" s="160">
        <v>39463</v>
      </c>
      <c r="F131" s="160">
        <v>36683</v>
      </c>
      <c r="G131" s="160">
        <v>40740</v>
      </c>
      <c r="H131" s="160">
        <v>29030</v>
      </c>
      <c r="I131" s="160">
        <v>30687</v>
      </c>
      <c r="J131" s="160">
        <v>5268</v>
      </c>
      <c r="K131" s="160">
        <v>5554</v>
      </c>
      <c r="L131" s="160">
        <f t="shared" si="4"/>
        <v>26040.2</v>
      </c>
      <c r="M131" s="160">
        <f t="shared" si="5"/>
        <v>30584.400000000001</v>
      </c>
    </row>
    <row r="132" spans="1:14" x14ac:dyDescent="0.2">
      <c r="A132" s="160" t="s">
        <v>281</v>
      </c>
      <c r="B132" s="160">
        <v>20419</v>
      </c>
      <c r="C132" s="160">
        <v>26293</v>
      </c>
      <c r="D132" s="160">
        <v>20210</v>
      </c>
      <c r="E132" s="160">
        <v>30194</v>
      </c>
      <c r="F132" s="160">
        <v>29731</v>
      </c>
      <c r="G132" s="160">
        <v>40858</v>
      </c>
      <c r="H132" s="160">
        <v>23371</v>
      </c>
      <c r="I132" s="160">
        <v>23950</v>
      </c>
      <c r="J132" s="160">
        <v>11164</v>
      </c>
      <c r="K132" s="160">
        <v>11639</v>
      </c>
      <c r="L132" s="160">
        <f t="shared" si="4"/>
        <v>20979</v>
      </c>
      <c r="M132" s="160">
        <f t="shared" si="5"/>
        <v>26586.799999999999</v>
      </c>
    </row>
    <row r="133" spans="1:14" x14ac:dyDescent="0.2">
      <c r="A133" s="160" t="s">
        <v>318</v>
      </c>
      <c r="B133" s="160">
        <v>24483</v>
      </c>
      <c r="C133" s="160">
        <v>55774</v>
      </c>
      <c r="D133" s="160">
        <v>44881</v>
      </c>
      <c r="E133" s="160">
        <v>45442</v>
      </c>
      <c r="F133" s="160">
        <v>31527</v>
      </c>
      <c r="G133" s="160">
        <v>32142</v>
      </c>
      <c r="H133" s="160">
        <v>25864</v>
      </c>
      <c r="I133" s="160">
        <v>30869</v>
      </c>
      <c r="J133" s="160">
        <v>10163</v>
      </c>
      <c r="K133" s="160">
        <v>10144</v>
      </c>
      <c r="L133" s="160">
        <f t="shared" si="4"/>
        <v>27383.599999999999</v>
      </c>
      <c r="M133" s="160">
        <f t="shared" si="5"/>
        <v>34874.199999999997</v>
      </c>
    </row>
    <row r="134" spans="1:14" x14ac:dyDescent="0.2">
      <c r="A134" s="160" t="s">
        <v>449</v>
      </c>
      <c r="B134" s="160">
        <v>3257</v>
      </c>
      <c r="C134" s="160">
        <v>3258</v>
      </c>
      <c r="D134" s="160">
        <v>1634</v>
      </c>
      <c r="E134" s="160">
        <v>1665</v>
      </c>
      <c r="F134" s="160">
        <v>2270</v>
      </c>
      <c r="G134" s="160">
        <v>2870</v>
      </c>
      <c r="H134" s="160">
        <v>4347</v>
      </c>
      <c r="I134" s="160">
        <v>5567</v>
      </c>
      <c r="J134" s="160">
        <v>4808</v>
      </c>
      <c r="K134" s="160">
        <v>4081</v>
      </c>
      <c r="L134" s="160">
        <f t="shared" si="4"/>
        <v>3263.2</v>
      </c>
      <c r="M134" s="160">
        <f t="shared" si="5"/>
        <v>3488.2</v>
      </c>
    </row>
    <row r="135" spans="1:14" x14ac:dyDescent="0.2">
      <c r="A135" s="160" t="s">
        <v>237</v>
      </c>
      <c r="B135" s="160">
        <v>5653</v>
      </c>
      <c r="C135" s="160">
        <v>5228</v>
      </c>
      <c r="D135" s="160">
        <v>1042</v>
      </c>
      <c r="E135" s="160">
        <v>1511</v>
      </c>
      <c r="F135" s="160">
        <v>3336</v>
      </c>
      <c r="G135" s="160">
        <v>3460</v>
      </c>
      <c r="H135" s="160">
        <v>2247</v>
      </c>
      <c r="I135" s="160">
        <v>2434</v>
      </c>
      <c r="J135" s="160">
        <v>0</v>
      </c>
      <c r="K135" s="160">
        <v>0</v>
      </c>
      <c r="L135" s="160">
        <f t="shared" si="4"/>
        <v>2455.6</v>
      </c>
      <c r="M135" s="160">
        <f t="shared" si="5"/>
        <v>2526.6</v>
      </c>
    </row>
    <row r="136" spans="1:14" x14ac:dyDescent="0.2">
      <c r="A136" s="160" t="s">
        <v>259</v>
      </c>
      <c r="B136" s="160">
        <v>917</v>
      </c>
      <c r="C136" s="160">
        <v>3203</v>
      </c>
      <c r="D136" s="160">
        <v>5695</v>
      </c>
      <c r="E136" s="160">
        <v>12065</v>
      </c>
      <c r="F136" s="160">
        <v>200</v>
      </c>
      <c r="G136" s="160">
        <v>522</v>
      </c>
      <c r="H136" s="160">
        <v>415</v>
      </c>
      <c r="I136" s="160">
        <v>515</v>
      </c>
      <c r="J136" s="160">
        <v>200</v>
      </c>
      <c r="K136" s="160">
        <v>370</v>
      </c>
      <c r="L136" s="160">
        <f t="shared" si="4"/>
        <v>1485.4</v>
      </c>
      <c r="M136" s="160">
        <f t="shared" si="5"/>
        <v>3335</v>
      </c>
    </row>
    <row r="137" spans="1:14" x14ac:dyDescent="0.2">
      <c r="A137" s="160" t="s">
        <v>319</v>
      </c>
      <c r="B137" s="160">
        <v>3098</v>
      </c>
      <c r="C137" s="160">
        <v>3134</v>
      </c>
      <c r="D137" s="160">
        <v>6142</v>
      </c>
      <c r="E137" s="160">
        <v>6153</v>
      </c>
      <c r="F137" s="160">
        <v>2590</v>
      </c>
      <c r="G137" s="160">
        <v>2699</v>
      </c>
      <c r="H137" s="160">
        <v>1988</v>
      </c>
      <c r="I137" s="160">
        <v>2003</v>
      </c>
      <c r="J137" s="160">
        <v>354</v>
      </c>
      <c r="K137" s="160">
        <v>374</v>
      </c>
      <c r="L137" s="160">
        <f t="shared" si="4"/>
        <v>2834.4</v>
      </c>
      <c r="M137" s="160">
        <f t="shared" si="5"/>
        <v>2872.6</v>
      </c>
    </row>
    <row r="138" spans="1:14" x14ac:dyDescent="0.2">
      <c r="A138" s="160" t="s">
        <v>399</v>
      </c>
      <c r="B138" s="160">
        <v>11882</v>
      </c>
      <c r="C138" s="160">
        <v>7035</v>
      </c>
      <c r="D138" s="160">
        <v>10043</v>
      </c>
      <c r="E138" s="160">
        <v>7044</v>
      </c>
      <c r="F138" s="160">
        <v>4575</v>
      </c>
      <c r="G138" s="160">
        <v>4906</v>
      </c>
      <c r="H138" s="160">
        <v>2985</v>
      </c>
      <c r="I138" s="160">
        <v>2664</v>
      </c>
      <c r="J138" s="160">
        <v>3296</v>
      </c>
      <c r="K138" s="160">
        <v>1917</v>
      </c>
      <c r="L138" s="160">
        <f t="shared" si="4"/>
        <v>6556.2</v>
      </c>
      <c r="M138" s="160">
        <f t="shared" si="5"/>
        <v>4713.2</v>
      </c>
    </row>
    <row r="139" spans="1:14" x14ac:dyDescent="0.2">
      <c r="A139" s="160" t="s">
        <v>400</v>
      </c>
      <c r="B139" s="160">
        <v>0</v>
      </c>
      <c r="C139" s="160">
        <v>0</v>
      </c>
      <c r="D139" s="160">
        <v>0</v>
      </c>
      <c r="E139" s="160">
        <v>0</v>
      </c>
      <c r="F139" s="160">
        <v>0</v>
      </c>
      <c r="G139" s="160">
        <v>0</v>
      </c>
      <c r="H139" s="160">
        <v>0</v>
      </c>
      <c r="I139" s="160">
        <v>0</v>
      </c>
      <c r="J139" s="160">
        <v>0</v>
      </c>
      <c r="K139" s="160">
        <v>0</v>
      </c>
      <c r="L139" s="160">
        <f t="shared" si="4"/>
        <v>0</v>
      </c>
      <c r="M139" s="160">
        <f t="shared" si="5"/>
        <v>0</v>
      </c>
    </row>
    <row r="140" spans="1:14" x14ac:dyDescent="0.2">
      <c r="A140" s="160" t="s">
        <v>320</v>
      </c>
      <c r="B140" s="160">
        <v>2094</v>
      </c>
      <c r="C140" s="160">
        <v>1925</v>
      </c>
      <c r="D140" s="160">
        <v>7124</v>
      </c>
      <c r="E140" s="160">
        <v>7686</v>
      </c>
      <c r="F140" s="160">
        <v>3146</v>
      </c>
      <c r="G140" s="160">
        <v>5612</v>
      </c>
      <c r="H140" s="160">
        <v>2574</v>
      </c>
      <c r="I140" s="160">
        <v>2882</v>
      </c>
      <c r="J140" s="160">
        <v>530</v>
      </c>
      <c r="K140" s="160">
        <v>612</v>
      </c>
      <c r="L140" s="160">
        <f t="shared" si="4"/>
        <v>3093.6</v>
      </c>
      <c r="M140" s="160">
        <f t="shared" si="5"/>
        <v>3743.4</v>
      </c>
    </row>
    <row r="141" spans="1:14" x14ac:dyDescent="0.2">
      <c r="A141" s="160" t="s">
        <v>260</v>
      </c>
      <c r="B141" s="160">
        <v>15860.827969210106</v>
      </c>
      <c r="C141" s="160">
        <v>20465.720307898951</v>
      </c>
      <c r="D141" s="160">
        <v>15253.851985559566</v>
      </c>
      <c r="E141" s="160">
        <v>87947.934296028878</v>
      </c>
      <c r="F141" s="160">
        <v>601.18566271273858</v>
      </c>
      <c r="G141" s="160">
        <v>3874.3289324394018</v>
      </c>
      <c r="H141" s="160">
        <v>14554.033831872099</v>
      </c>
      <c r="I141" s="160">
        <v>17936.217947395566</v>
      </c>
      <c r="J141" s="160">
        <v>4000</v>
      </c>
      <c r="K141" s="160">
        <v>4000</v>
      </c>
      <c r="L141" s="160">
        <f t="shared" si="4"/>
        <v>10053.979889870901</v>
      </c>
      <c r="M141" s="160">
        <f t="shared" si="5"/>
        <v>26844.840296752558</v>
      </c>
    </row>
    <row r="142" spans="1:14" x14ac:dyDescent="0.2">
      <c r="A142" s="160" t="s">
        <v>401</v>
      </c>
      <c r="B142" s="160">
        <v>49907</v>
      </c>
      <c r="C142" s="160">
        <v>55493</v>
      </c>
      <c r="D142" s="160">
        <v>42231</v>
      </c>
      <c r="E142" s="160">
        <v>45094</v>
      </c>
      <c r="F142" s="160">
        <v>21888</v>
      </c>
      <c r="G142" s="160">
        <v>22920</v>
      </c>
      <c r="H142" s="160">
        <v>33869</v>
      </c>
      <c r="I142" s="160">
        <v>45843</v>
      </c>
      <c r="J142" s="160">
        <v>36567</v>
      </c>
      <c r="K142" s="160">
        <v>36746</v>
      </c>
      <c r="L142" s="160">
        <f t="shared" si="4"/>
        <v>36892.400000000001</v>
      </c>
      <c r="M142" s="160">
        <f t="shared" si="5"/>
        <v>41219.199999999997</v>
      </c>
    </row>
    <row r="143" spans="1:14" x14ac:dyDescent="0.2">
      <c r="A143" s="160" t="s">
        <v>581</v>
      </c>
      <c r="B143" s="160">
        <v>15659</v>
      </c>
      <c r="C143" s="160">
        <v>18351</v>
      </c>
      <c r="D143" s="160">
        <v>20391</v>
      </c>
      <c r="E143" s="160">
        <v>20918</v>
      </c>
      <c r="F143" s="160">
        <v>13725</v>
      </c>
      <c r="G143" s="160">
        <v>13055</v>
      </c>
      <c r="H143" s="160">
        <v>11221</v>
      </c>
      <c r="I143" s="160">
        <v>10770</v>
      </c>
      <c r="J143" s="160">
        <v>1350</v>
      </c>
      <c r="K143" s="160">
        <v>1315</v>
      </c>
      <c r="L143" s="160">
        <f t="shared" si="4"/>
        <v>12469.2</v>
      </c>
      <c r="M143" s="160">
        <f t="shared" si="5"/>
        <v>12881.8</v>
      </c>
    </row>
    <row r="144" spans="1:14" x14ac:dyDescent="0.2">
      <c r="A144" s="160" t="s">
        <v>538</v>
      </c>
      <c r="B144" s="160">
        <v>2460</v>
      </c>
      <c r="C144" s="160">
        <v>2587</v>
      </c>
      <c r="D144" s="160">
        <v>1817</v>
      </c>
      <c r="E144" s="160">
        <v>1606</v>
      </c>
      <c r="F144" s="160">
        <v>2044</v>
      </c>
      <c r="G144" s="160">
        <v>3047</v>
      </c>
      <c r="H144" s="160">
        <v>561</v>
      </c>
      <c r="I144" s="160">
        <v>623</v>
      </c>
      <c r="J144" s="160">
        <v>625</v>
      </c>
      <c r="K144" s="160">
        <v>625</v>
      </c>
      <c r="L144" s="160">
        <f t="shared" si="4"/>
        <v>1501.4</v>
      </c>
      <c r="M144" s="160">
        <f t="shared" si="5"/>
        <v>1697.6</v>
      </c>
    </row>
    <row r="145" spans="1:13" x14ac:dyDescent="0.2">
      <c r="A145" s="160" t="s">
        <v>402</v>
      </c>
      <c r="B145" s="160">
        <v>9671</v>
      </c>
      <c r="C145" s="160">
        <v>22046</v>
      </c>
      <c r="D145" s="160">
        <v>15452</v>
      </c>
      <c r="E145" s="160">
        <v>14616</v>
      </c>
      <c r="F145" s="160">
        <v>11017</v>
      </c>
      <c r="G145" s="160">
        <v>15860</v>
      </c>
      <c r="H145" s="160">
        <v>2958</v>
      </c>
      <c r="I145" s="160">
        <v>4384</v>
      </c>
      <c r="J145" s="160">
        <v>3405</v>
      </c>
      <c r="K145" s="160">
        <v>3659</v>
      </c>
      <c r="L145" s="160">
        <f t="shared" si="4"/>
        <v>8500.6</v>
      </c>
      <c r="M145" s="160">
        <f t="shared" si="5"/>
        <v>12113</v>
      </c>
    </row>
    <row r="146" spans="1:13" x14ac:dyDescent="0.2">
      <c r="A146" s="160" t="s">
        <v>282</v>
      </c>
      <c r="B146" s="160">
        <v>10926</v>
      </c>
      <c r="C146" s="160">
        <v>7556</v>
      </c>
      <c r="D146" s="160">
        <v>5388</v>
      </c>
      <c r="E146" s="160">
        <v>9182</v>
      </c>
      <c r="F146" s="160">
        <v>3312</v>
      </c>
      <c r="G146" s="160">
        <v>4274</v>
      </c>
      <c r="H146" s="160">
        <v>1682</v>
      </c>
      <c r="I146" s="160">
        <v>2478</v>
      </c>
      <c r="J146" s="160">
        <v>5778</v>
      </c>
      <c r="K146" s="160">
        <v>6167</v>
      </c>
      <c r="L146" s="160">
        <f t="shared" si="4"/>
        <v>5417.2</v>
      </c>
      <c r="M146" s="160">
        <f t="shared" si="5"/>
        <v>5931.4</v>
      </c>
    </row>
    <row r="147" spans="1:13" x14ac:dyDescent="0.2">
      <c r="A147" s="160" t="s">
        <v>450</v>
      </c>
      <c r="B147" s="160">
        <v>10111</v>
      </c>
      <c r="C147" s="160">
        <v>10853</v>
      </c>
      <c r="D147" s="160">
        <v>8157</v>
      </c>
      <c r="E147" s="160">
        <v>12146</v>
      </c>
      <c r="F147" s="160">
        <v>14516</v>
      </c>
      <c r="G147" s="160">
        <v>15154</v>
      </c>
      <c r="H147" s="160">
        <v>6625</v>
      </c>
      <c r="I147" s="160">
        <v>7257</v>
      </c>
      <c r="J147" s="160">
        <v>2217</v>
      </c>
      <c r="K147" s="160">
        <v>2269</v>
      </c>
      <c r="L147" s="160">
        <f t="shared" si="4"/>
        <v>8325.2000000000007</v>
      </c>
      <c r="M147" s="160">
        <f t="shared" si="5"/>
        <v>9535.7999999999993</v>
      </c>
    </row>
    <row r="148" spans="1:13" x14ac:dyDescent="0.2">
      <c r="A148" s="160" t="s">
        <v>539</v>
      </c>
      <c r="B148" s="160">
        <v>54447</v>
      </c>
      <c r="C148" s="160">
        <v>60661</v>
      </c>
      <c r="D148" s="160">
        <v>31481</v>
      </c>
      <c r="E148" s="160">
        <v>37568</v>
      </c>
      <c r="F148" s="160">
        <v>30602</v>
      </c>
      <c r="G148" s="160">
        <v>47857</v>
      </c>
      <c r="H148" s="160">
        <v>29241</v>
      </c>
      <c r="I148" s="160">
        <v>45677</v>
      </c>
      <c r="J148" s="160">
        <v>44634</v>
      </c>
      <c r="K148" s="160">
        <v>43596</v>
      </c>
      <c r="L148" s="160">
        <f t="shared" si="4"/>
        <v>38081</v>
      </c>
      <c r="M148" s="160">
        <f t="shared" si="5"/>
        <v>47071.8</v>
      </c>
    </row>
    <row r="149" spans="1:13" x14ac:dyDescent="0.2">
      <c r="A149" s="160" t="s">
        <v>451</v>
      </c>
      <c r="B149" s="160">
        <v>21686</v>
      </c>
      <c r="C149" s="160">
        <v>12861</v>
      </c>
      <c r="D149" s="160">
        <v>12592</v>
      </c>
      <c r="E149" s="160">
        <v>16743</v>
      </c>
      <c r="F149" s="160">
        <v>10373</v>
      </c>
      <c r="G149" s="160">
        <v>12823</v>
      </c>
      <c r="H149" s="160">
        <v>12361</v>
      </c>
      <c r="I149" s="160">
        <v>13695</v>
      </c>
      <c r="J149" s="160">
        <v>22471</v>
      </c>
      <c r="K149" s="160">
        <v>22431</v>
      </c>
      <c r="L149" s="160">
        <f t="shared" si="4"/>
        <v>15896.6</v>
      </c>
      <c r="M149" s="160">
        <f t="shared" si="5"/>
        <v>15710.6</v>
      </c>
    </row>
    <row r="150" spans="1:13" x14ac:dyDescent="0.2">
      <c r="A150" s="160" t="s">
        <v>630</v>
      </c>
      <c r="B150" s="160">
        <v>47198</v>
      </c>
      <c r="C150" s="160">
        <v>55122</v>
      </c>
      <c r="D150" s="160">
        <v>37579</v>
      </c>
      <c r="E150" s="160">
        <v>42223</v>
      </c>
      <c r="F150" s="160">
        <v>65671</v>
      </c>
      <c r="G150" s="160">
        <v>69364</v>
      </c>
      <c r="H150" s="160">
        <v>43549</v>
      </c>
      <c r="I150" s="160">
        <v>52858</v>
      </c>
      <c r="J150" s="160">
        <v>31278</v>
      </c>
      <c r="K150" s="160">
        <v>29999</v>
      </c>
      <c r="L150" s="160">
        <f t="shared" si="4"/>
        <v>45055</v>
      </c>
      <c r="M150" s="160">
        <f t="shared" si="5"/>
        <v>49913.2</v>
      </c>
    </row>
    <row r="151" spans="1:13" x14ac:dyDescent="0.2">
      <c r="A151" s="160" t="s">
        <v>617</v>
      </c>
      <c r="B151" s="160">
        <v>10</v>
      </c>
      <c r="C151" s="160">
        <v>38</v>
      </c>
      <c r="D151" s="160">
        <v>6</v>
      </c>
      <c r="E151" s="160">
        <v>52</v>
      </c>
      <c r="F151" s="160">
        <v>323</v>
      </c>
      <c r="G151" s="160">
        <v>378</v>
      </c>
      <c r="H151" s="160">
        <v>217</v>
      </c>
      <c r="I151" s="160">
        <v>335</v>
      </c>
      <c r="J151" s="160">
        <v>20</v>
      </c>
      <c r="K151" s="160">
        <v>98</v>
      </c>
      <c r="L151" s="160">
        <f t="shared" si="4"/>
        <v>115.2</v>
      </c>
      <c r="M151" s="160">
        <f t="shared" si="5"/>
        <v>180.2</v>
      </c>
    </row>
    <row r="152" spans="1:13" x14ac:dyDescent="0.2">
      <c r="A152" s="160" t="s">
        <v>321</v>
      </c>
      <c r="B152" s="160">
        <v>1632</v>
      </c>
      <c r="C152" s="160">
        <v>2282</v>
      </c>
      <c r="D152" s="160">
        <v>4112</v>
      </c>
      <c r="E152" s="160">
        <v>3906</v>
      </c>
      <c r="F152" s="160">
        <v>2022</v>
      </c>
      <c r="G152" s="160">
        <v>4239</v>
      </c>
      <c r="H152" s="160">
        <v>1892</v>
      </c>
      <c r="I152" s="160">
        <v>1997</v>
      </c>
      <c r="J152" s="160">
        <v>1101</v>
      </c>
      <c r="K152" s="160">
        <v>1068</v>
      </c>
      <c r="L152" s="160">
        <f t="shared" si="4"/>
        <v>2151.8000000000002</v>
      </c>
      <c r="M152" s="160">
        <f t="shared" si="5"/>
        <v>2698.4</v>
      </c>
    </row>
    <row r="153" spans="1:13" x14ac:dyDescent="0.2">
      <c r="A153" s="160" t="s">
        <v>540</v>
      </c>
      <c r="B153" s="160">
        <v>10156</v>
      </c>
      <c r="C153" s="160">
        <v>2000</v>
      </c>
      <c r="D153" s="160">
        <v>5867</v>
      </c>
      <c r="E153" s="160">
        <v>9512</v>
      </c>
      <c r="F153" s="160">
        <v>4646</v>
      </c>
      <c r="G153" s="160">
        <v>13692</v>
      </c>
      <c r="H153" s="160">
        <v>10604</v>
      </c>
      <c r="I153" s="160">
        <v>24849</v>
      </c>
      <c r="J153" s="160">
        <v>17100</v>
      </c>
      <c r="K153" s="160">
        <v>18888</v>
      </c>
      <c r="L153" s="160">
        <f t="shared" si="4"/>
        <v>9674.6</v>
      </c>
      <c r="M153" s="160">
        <f t="shared" si="5"/>
        <v>13788.2</v>
      </c>
    </row>
    <row r="154" spans="1:13" x14ac:dyDescent="0.2">
      <c r="A154" s="160" t="s">
        <v>452</v>
      </c>
      <c r="B154" s="160">
        <v>3026</v>
      </c>
      <c r="C154" s="160">
        <v>3155</v>
      </c>
      <c r="D154" s="160">
        <v>4490</v>
      </c>
      <c r="E154" s="160">
        <v>4806</v>
      </c>
      <c r="F154" s="160">
        <v>2493</v>
      </c>
      <c r="G154" s="160">
        <v>1194</v>
      </c>
      <c r="H154" s="160">
        <v>2120</v>
      </c>
      <c r="I154" s="160">
        <v>557</v>
      </c>
      <c r="J154" s="160">
        <v>3857</v>
      </c>
      <c r="K154" s="160">
        <v>3949</v>
      </c>
      <c r="L154" s="160">
        <f t="shared" si="4"/>
        <v>3197.2</v>
      </c>
      <c r="M154" s="160">
        <f t="shared" si="5"/>
        <v>2732.2</v>
      </c>
    </row>
    <row r="155" spans="1:13" x14ac:dyDescent="0.2">
      <c r="A155" s="160" t="s">
        <v>541</v>
      </c>
      <c r="B155" s="160">
        <v>2989</v>
      </c>
      <c r="C155" s="160">
        <v>2783</v>
      </c>
      <c r="D155" s="160">
        <v>6757</v>
      </c>
      <c r="E155" s="160">
        <v>4979</v>
      </c>
      <c r="F155" s="160">
        <v>1711</v>
      </c>
      <c r="G155" s="160">
        <v>1479</v>
      </c>
      <c r="H155" s="160">
        <v>4461</v>
      </c>
      <c r="I155" s="160">
        <v>3667</v>
      </c>
      <c r="J155" s="160">
        <v>4501</v>
      </c>
      <c r="K155" s="160">
        <v>4095</v>
      </c>
      <c r="L155" s="160">
        <f t="shared" si="4"/>
        <v>4083.8</v>
      </c>
      <c r="M155" s="160">
        <f t="shared" si="5"/>
        <v>3400.6</v>
      </c>
    </row>
    <row r="156" spans="1:13" x14ac:dyDescent="0.2">
      <c r="A156" s="160" t="s">
        <v>403</v>
      </c>
      <c r="B156" s="160">
        <v>11263</v>
      </c>
      <c r="C156" s="160">
        <v>18872</v>
      </c>
      <c r="D156" s="160">
        <v>14634</v>
      </c>
      <c r="E156" s="160">
        <v>16857</v>
      </c>
      <c r="F156" s="160">
        <v>55584</v>
      </c>
      <c r="G156" s="160">
        <v>53490</v>
      </c>
      <c r="H156" s="160">
        <v>20051</v>
      </c>
      <c r="I156" s="160">
        <v>19564</v>
      </c>
      <c r="J156" s="160">
        <v>18630</v>
      </c>
      <c r="K156" s="160">
        <v>19752</v>
      </c>
      <c r="L156" s="160">
        <f t="shared" si="4"/>
        <v>24032.400000000001</v>
      </c>
      <c r="M156" s="160">
        <f t="shared" si="5"/>
        <v>25707</v>
      </c>
    </row>
    <row r="157" spans="1:13" x14ac:dyDescent="0.2">
      <c r="A157" s="160" t="s">
        <v>283</v>
      </c>
      <c r="B157" s="160">
        <v>5468</v>
      </c>
      <c r="C157" s="160">
        <v>4469</v>
      </c>
      <c r="D157" s="160">
        <v>5846</v>
      </c>
      <c r="E157" s="160">
        <v>8523</v>
      </c>
      <c r="F157" s="160">
        <v>5939</v>
      </c>
      <c r="G157" s="160">
        <v>6186</v>
      </c>
      <c r="H157" s="160">
        <v>1226</v>
      </c>
      <c r="I157" s="160">
        <v>1419</v>
      </c>
      <c r="J157" s="160">
        <v>1903</v>
      </c>
      <c r="K157" s="160">
        <v>1912</v>
      </c>
      <c r="L157" s="160">
        <f t="shared" si="4"/>
        <v>4076.4</v>
      </c>
      <c r="M157" s="160">
        <f t="shared" si="5"/>
        <v>4501.8</v>
      </c>
    </row>
    <row r="158" spans="1:13" x14ac:dyDescent="0.2">
      <c r="A158" s="160" t="s">
        <v>404</v>
      </c>
      <c r="B158" s="160">
        <v>3325</v>
      </c>
      <c r="C158" s="160">
        <v>3480</v>
      </c>
      <c r="D158" s="160">
        <v>5599</v>
      </c>
      <c r="E158" s="160">
        <v>10908</v>
      </c>
      <c r="F158" s="160">
        <v>1866</v>
      </c>
      <c r="G158" s="160">
        <v>4453</v>
      </c>
      <c r="H158" s="160">
        <v>4259</v>
      </c>
      <c r="I158" s="160">
        <v>3644</v>
      </c>
      <c r="J158" s="160">
        <v>1450</v>
      </c>
      <c r="K158" s="160">
        <v>1365</v>
      </c>
      <c r="L158" s="160">
        <f t="shared" si="4"/>
        <v>3299.8</v>
      </c>
      <c r="M158" s="160">
        <f t="shared" si="5"/>
        <v>4770</v>
      </c>
    </row>
    <row r="159" spans="1:13" x14ac:dyDescent="0.2">
      <c r="A159" s="160" t="s">
        <v>221</v>
      </c>
      <c r="B159" s="160">
        <v>13439</v>
      </c>
      <c r="C159" s="160">
        <v>21562</v>
      </c>
      <c r="D159" s="160">
        <v>10279</v>
      </c>
      <c r="E159" s="160">
        <v>11516</v>
      </c>
      <c r="F159" s="160">
        <v>6892</v>
      </c>
      <c r="G159" s="160">
        <v>8822</v>
      </c>
      <c r="H159" s="160">
        <v>13050</v>
      </c>
      <c r="I159" s="160">
        <v>13735</v>
      </c>
      <c r="J159" s="160">
        <v>9447</v>
      </c>
      <c r="K159" s="160">
        <v>6705</v>
      </c>
      <c r="L159" s="160">
        <f t="shared" si="4"/>
        <v>10621.4</v>
      </c>
      <c r="M159" s="160">
        <f t="shared" si="5"/>
        <v>12468</v>
      </c>
    </row>
    <row r="160" spans="1:13" x14ac:dyDescent="0.2">
      <c r="A160" s="160" t="s">
        <v>238</v>
      </c>
      <c r="B160" s="160">
        <v>5945</v>
      </c>
      <c r="C160" s="160">
        <v>12995</v>
      </c>
      <c r="D160" s="160">
        <v>4792</v>
      </c>
      <c r="E160" s="160">
        <v>7356</v>
      </c>
      <c r="F160" s="160">
        <v>3681</v>
      </c>
      <c r="G160" s="160">
        <v>6806</v>
      </c>
      <c r="H160" s="160">
        <v>5755</v>
      </c>
      <c r="I160" s="160">
        <v>6553</v>
      </c>
      <c r="J160" s="160">
        <v>7074</v>
      </c>
      <c r="K160" s="160">
        <v>7435</v>
      </c>
      <c r="L160" s="160">
        <f t="shared" si="4"/>
        <v>5449.4</v>
      </c>
      <c r="M160" s="160">
        <f t="shared" si="5"/>
        <v>8229</v>
      </c>
    </row>
    <row r="161" spans="1:13" x14ac:dyDescent="0.2">
      <c r="A161" s="160" t="s">
        <v>405</v>
      </c>
      <c r="B161" s="160">
        <v>9104</v>
      </c>
      <c r="C161" s="160">
        <v>8799</v>
      </c>
      <c r="D161" s="160">
        <v>11033</v>
      </c>
      <c r="E161" s="160">
        <v>16329</v>
      </c>
      <c r="F161" s="160">
        <v>21490</v>
      </c>
      <c r="G161" s="160">
        <v>28278</v>
      </c>
      <c r="H161" s="160">
        <v>16972</v>
      </c>
      <c r="I161" s="160">
        <v>17947</v>
      </c>
      <c r="J161" s="160">
        <v>13570</v>
      </c>
      <c r="K161" s="160">
        <v>13401</v>
      </c>
      <c r="L161" s="160">
        <f t="shared" si="4"/>
        <v>14433.8</v>
      </c>
      <c r="M161" s="160">
        <f t="shared" si="5"/>
        <v>16950.8</v>
      </c>
    </row>
    <row r="162" spans="1:13" x14ac:dyDescent="0.2">
      <c r="A162" s="160" t="s">
        <v>582</v>
      </c>
      <c r="B162" s="160">
        <v>6567</v>
      </c>
      <c r="C162" s="160">
        <v>7094</v>
      </c>
      <c r="D162" s="160">
        <v>10039</v>
      </c>
      <c r="E162" s="160">
        <v>11326</v>
      </c>
      <c r="F162" s="160">
        <v>9784</v>
      </c>
      <c r="G162" s="160">
        <v>12703</v>
      </c>
      <c r="H162" s="160">
        <v>10111</v>
      </c>
      <c r="I162" s="160">
        <v>9124</v>
      </c>
      <c r="J162" s="160">
        <v>7690</v>
      </c>
      <c r="K162" s="160">
        <v>7024</v>
      </c>
      <c r="L162" s="160">
        <f t="shared" si="4"/>
        <v>8838.2000000000007</v>
      </c>
      <c r="M162" s="160">
        <f t="shared" si="5"/>
        <v>9454.2000000000007</v>
      </c>
    </row>
    <row r="163" spans="1:13" x14ac:dyDescent="0.2">
      <c r="A163" s="160" t="s">
        <v>361</v>
      </c>
      <c r="B163" s="160">
        <v>28340</v>
      </c>
      <c r="C163" s="160">
        <v>28308</v>
      </c>
      <c r="D163" s="160">
        <v>11066</v>
      </c>
      <c r="E163" s="160">
        <v>11135</v>
      </c>
      <c r="F163" s="160">
        <v>26183</v>
      </c>
      <c r="G163" s="160">
        <v>26177</v>
      </c>
      <c r="H163" s="160">
        <v>34434</v>
      </c>
      <c r="I163" s="160">
        <v>34429</v>
      </c>
      <c r="J163" s="160">
        <v>19949</v>
      </c>
      <c r="K163" s="160">
        <v>19939</v>
      </c>
      <c r="L163" s="160">
        <f t="shared" si="4"/>
        <v>23994.400000000001</v>
      </c>
      <c r="M163" s="160">
        <f t="shared" si="5"/>
        <v>23997.599999999999</v>
      </c>
    </row>
    <row r="164" spans="1:13" x14ac:dyDescent="0.2">
      <c r="A164" s="160" t="s">
        <v>406</v>
      </c>
      <c r="B164" s="160">
        <v>3305</v>
      </c>
      <c r="C164" s="160">
        <v>2670</v>
      </c>
      <c r="D164" s="160">
        <v>1726</v>
      </c>
      <c r="E164" s="160">
        <v>1427</v>
      </c>
      <c r="F164" s="160">
        <v>2973</v>
      </c>
      <c r="G164" s="160">
        <v>2972</v>
      </c>
      <c r="H164" s="160">
        <v>5201</v>
      </c>
      <c r="I164" s="160">
        <v>2455</v>
      </c>
      <c r="J164" s="160">
        <v>82</v>
      </c>
      <c r="K164" s="160">
        <v>83</v>
      </c>
      <c r="L164" s="160">
        <f t="shared" si="4"/>
        <v>2657.4</v>
      </c>
      <c r="M164" s="160">
        <f t="shared" si="5"/>
        <v>1921.4</v>
      </c>
    </row>
    <row r="165" spans="1:13" x14ac:dyDescent="0.2">
      <c r="A165" s="160" t="s">
        <v>498</v>
      </c>
      <c r="B165" s="160">
        <v>5498</v>
      </c>
      <c r="C165" s="160">
        <v>4667</v>
      </c>
      <c r="D165" s="160">
        <v>8378</v>
      </c>
      <c r="E165" s="160">
        <v>7496</v>
      </c>
      <c r="F165" s="160">
        <v>4995</v>
      </c>
      <c r="G165" s="160">
        <v>3905</v>
      </c>
      <c r="H165" s="160">
        <v>2157</v>
      </c>
      <c r="I165" s="160">
        <v>2813</v>
      </c>
      <c r="J165" s="160">
        <v>761</v>
      </c>
      <c r="K165" s="160">
        <v>838</v>
      </c>
      <c r="L165" s="160">
        <f t="shared" si="4"/>
        <v>4357.8</v>
      </c>
      <c r="M165" s="160">
        <f t="shared" si="5"/>
        <v>3943.8</v>
      </c>
    </row>
    <row r="166" spans="1:13" x14ac:dyDescent="0.2">
      <c r="A166" s="160" t="s">
        <v>362</v>
      </c>
      <c r="B166" s="160">
        <v>13135</v>
      </c>
      <c r="C166" s="160">
        <v>10116</v>
      </c>
      <c r="D166" s="160">
        <v>8798</v>
      </c>
      <c r="E166" s="160">
        <v>2494</v>
      </c>
      <c r="F166" s="160">
        <v>7119</v>
      </c>
      <c r="G166" s="160">
        <v>6446</v>
      </c>
      <c r="H166" s="160">
        <v>3492</v>
      </c>
      <c r="I166" s="160">
        <v>2564</v>
      </c>
      <c r="J166" s="160">
        <v>6738</v>
      </c>
      <c r="K166" s="160">
        <v>6762</v>
      </c>
      <c r="L166" s="160">
        <f t="shared" si="4"/>
        <v>7856.4</v>
      </c>
      <c r="M166" s="160">
        <f t="shared" si="5"/>
        <v>5676.4</v>
      </c>
    </row>
    <row r="167" spans="1:13" x14ac:dyDescent="0.2">
      <c r="A167" s="160" t="s">
        <v>453</v>
      </c>
      <c r="B167" s="160">
        <v>20671</v>
      </c>
      <c r="C167" s="160">
        <v>21393</v>
      </c>
      <c r="D167" s="160">
        <v>13739</v>
      </c>
      <c r="E167" s="160">
        <v>59290</v>
      </c>
      <c r="F167" s="160">
        <v>16085</v>
      </c>
      <c r="G167" s="160">
        <v>20302</v>
      </c>
      <c r="H167" s="160">
        <v>23260</v>
      </c>
      <c r="I167" s="160">
        <v>20293</v>
      </c>
      <c r="J167" s="160">
        <v>0</v>
      </c>
      <c r="K167" s="160">
        <v>0</v>
      </c>
      <c r="L167" s="160">
        <f t="shared" si="4"/>
        <v>14751</v>
      </c>
      <c r="M167" s="160">
        <f t="shared" si="5"/>
        <v>24255.599999999999</v>
      </c>
    </row>
    <row r="168" spans="1:13" x14ac:dyDescent="0.2">
      <c r="A168" s="160" t="s">
        <v>284</v>
      </c>
      <c r="B168" s="160">
        <v>40044</v>
      </c>
      <c r="C168" s="160">
        <v>42056</v>
      </c>
      <c r="D168" s="160">
        <v>54811</v>
      </c>
      <c r="E168" s="160">
        <v>61735</v>
      </c>
      <c r="F168" s="160">
        <v>40083</v>
      </c>
      <c r="G168" s="160">
        <v>47258</v>
      </c>
      <c r="H168" s="160">
        <v>27273</v>
      </c>
      <c r="I168" s="160">
        <v>27574</v>
      </c>
      <c r="J168" s="160">
        <v>31343</v>
      </c>
      <c r="K168" s="160">
        <v>31342</v>
      </c>
      <c r="L168" s="160">
        <f t="shared" si="4"/>
        <v>38710.800000000003</v>
      </c>
      <c r="M168" s="160">
        <f t="shared" si="5"/>
        <v>41993</v>
      </c>
    </row>
    <row r="169" spans="1:13" x14ac:dyDescent="0.2">
      <c r="A169" s="160" t="s">
        <v>499</v>
      </c>
      <c r="B169" s="160">
        <v>1614</v>
      </c>
      <c r="C169" s="160">
        <v>1472</v>
      </c>
      <c r="D169" s="160">
        <v>1419</v>
      </c>
      <c r="E169" s="160">
        <v>1320</v>
      </c>
      <c r="F169" s="160">
        <v>1584</v>
      </c>
      <c r="G169" s="160">
        <v>1460</v>
      </c>
      <c r="H169" s="160">
        <v>2160</v>
      </c>
      <c r="I169" s="160">
        <v>2070</v>
      </c>
      <c r="J169" s="160">
        <v>3735</v>
      </c>
      <c r="K169" s="160">
        <v>3631</v>
      </c>
      <c r="L169" s="160">
        <f t="shared" si="4"/>
        <v>2102.4</v>
      </c>
      <c r="M169" s="160">
        <f t="shared" si="5"/>
        <v>1990.6</v>
      </c>
    </row>
    <row r="170" spans="1:13" x14ac:dyDescent="0.2">
      <c r="A170" s="160" t="s">
        <v>454</v>
      </c>
      <c r="B170" s="160">
        <v>38501</v>
      </c>
      <c r="C170" s="160">
        <v>42278</v>
      </c>
      <c r="D170" s="160">
        <v>77954</v>
      </c>
      <c r="E170" s="160">
        <v>73609</v>
      </c>
      <c r="F170" s="160">
        <v>36375</v>
      </c>
      <c r="G170" s="160">
        <v>58141</v>
      </c>
      <c r="H170" s="160">
        <v>18152</v>
      </c>
      <c r="I170" s="160">
        <v>19224</v>
      </c>
      <c r="J170" s="160">
        <v>21777</v>
      </c>
      <c r="K170" s="160">
        <v>21881</v>
      </c>
      <c r="L170" s="160">
        <f t="shared" si="4"/>
        <v>38551.800000000003</v>
      </c>
      <c r="M170" s="160">
        <f t="shared" si="5"/>
        <v>43026.6</v>
      </c>
    </row>
    <row r="171" spans="1:13" x14ac:dyDescent="0.2">
      <c r="A171" s="160" t="s">
        <v>583</v>
      </c>
      <c r="B171" s="160">
        <v>1793</v>
      </c>
      <c r="C171" s="160">
        <v>1419</v>
      </c>
      <c r="D171" s="160">
        <v>1431</v>
      </c>
      <c r="E171" s="160">
        <v>1209</v>
      </c>
      <c r="F171" s="160">
        <v>2694</v>
      </c>
      <c r="G171" s="160">
        <v>3996</v>
      </c>
      <c r="H171" s="160">
        <v>2642</v>
      </c>
      <c r="I171" s="160">
        <v>2874</v>
      </c>
      <c r="J171" s="160">
        <v>495</v>
      </c>
      <c r="K171" s="160">
        <v>325</v>
      </c>
      <c r="L171" s="160">
        <f t="shared" si="4"/>
        <v>1811</v>
      </c>
      <c r="M171" s="160">
        <f t="shared" si="5"/>
        <v>1964.6</v>
      </c>
    </row>
    <row r="172" spans="1:13" x14ac:dyDescent="0.2">
      <c r="A172" s="160" t="s">
        <v>407</v>
      </c>
      <c r="B172" s="160">
        <v>5551</v>
      </c>
      <c r="C172" s="160">
        <v>3904</v>
      </c>
      <c r="D172" s="160">
        <v>4034</v>
      </c>
      <c r="E172" s="160">
        <v>3944</v>
      </c>
      <c r="F172" s="160">
        <v>2302</v>
      </c>
      <c r="G172" s="160">
        <v>4705</v>
      </c>
      <c r="H172" s="160">
        <v>3286</v>
      </c>
      <c r="I172" s="160">
        <v>2934</v>
      </c>
      <c r="J172" s="160">
        <v>1447</v>
      </c>
      <c r="K172" s="160">
        <v>1447</v>
      </c>
      <c r="L172" s="160">
        <f t="shared" si="4"/>
        <v>3324</v>
      </c>
      <c r="M172" s="160">
        <f t="shared" si="5"/>
        <v>3386.8</v>
      </c>
    </row>
    <row r="173" spans="1:13" x14ac:dyDescent="0.2">
      <c r="A173" s="160" t="s">
        <v>612</v>
      </c>
      <c r="B173" s="160">
        <v>251</v>
      </c>
      <c r="C173" s="160">
        <v>247</v>
      </c>
      <c r="D173" s="160">
        <v>811</v>
      </c>
      <c r="E173" s="160">
        <v>3936</v>
      </c>
      <c r="F173" s="160">
        <v>100</v>
      </c>
      <c r="G173" s="160">
        <v>178</v>
      </c>
      <c r="H173" s="160">
        <v>1979</v>
      </c>
      <c r="I173" s="160">
        <v>2241</v>
      </c>
      <c r="J173" s="160">
        <v>117</v>
      </c>
      <c r="K173" s="160">
        <v>158</v>
      </c>
      <c r="L173" s="160">
        <f t="shared" si="4"/>
        <v>651.6</v>
      </c>
      <c r="M173" s="160">
        <f t="shared" si="5"/>
        <v>1352</v>
      </c>
    </row>
    <row r="174" spans="1:13" x14ac:dyDescent="0.2">
      <c r="A174" s="160" t="s">
        <v>455</v>
      </c>
      <c r="B174" s="160">
        <v>1011</v>
      </c>
      <c r="C174" s="160">
        <v>630</v>
      </c>
      <c r="D174" s="160">
        <v>831</v>
      </c>
      <c r="E174" s="160">
        <v>2272</v>
      </c>
      <c r="F174" s="160">
        <v>1126</v>
      </c>
      <c r="G174" s="160">
        <v>1411</v>
      </c>
      <c r="H174" s="160">
        <v>2154</v>
      </c>
      <c r="I174" s="160">
        <v>1856</v>
      </c>
      <c r="J174" s="160">
        <v>682</v>
      </c>
      <c r="K174" s="160">
        <v>542</v>
      </c>
      <c r="L174" s="160">
        <f t="shared" si="4"/>
        <v>1160.8</v>
      </c>
      <c r="M174" s="160">
        <f t="shared" si="5"/>
        <v>1342.2</v>
      </c>
    </row>
    <row r="175" spans="1:13" x14ac:dyDescent="0.2">
      <c r="A175" s="160" t="s">
        <v>456</v>
      </c>
      <c r="B175" s="160">
        <v>5403</v>
      </c>
      <c r="C175" s="160">
        <v>6396</v>
      </c>
      <c r="D175" s="160">
        <v>8617</v>
      </c>
      <c r="E175" s="160">
        <v>14606</v>
      </c>
      <c r="F175" s="160">
        <v>4585</v>
      </c>
      <c r="G175" s="160">
        <v>3620</v>
      </c>
      <c r="H175" s="160">
        <v>5143</v>
      </c>
      <c r="I175" s="160">
        <v>6442</v>
      </c>
      <c r="J175" s="160">
        <v>887</v>
      </c>
      <c r="K175" s="160">
        <v>1187</v>
      </c>
      <c r="L175" s="160">
        <f t="shared" si="4"/>
        <v>4927</v>
      </c>
      <c r="M175" s="160">
        <f t="shared" si="5"/>
        <v>6450.2</v>
      </c>
    </row>
    <row r="176" spans="1:13" x14ac:dyDescent="0.2">
      <c r="A176" s="160" t="s">
        <v>742</v>
      </c>
      <c r="B176" s="160">
        <v>15479</v>
      </c>
      <c r="C176" s="160">
        <v>15339</v>
      </c>
      <c r="D176" s="160">
        <v>35731</v>
      </c>
      <c r="E176" s="160">
        <v>35165</v>
      </c>
      <c r="F176" s="160">
        <v>12373</v>
      </c>
      <c r="G176" s="160">
        <v>12523</v>
      </c>
      <c r="H176" s="160">
        <v>7606</v>
      </c>
      <c r="I176" s="160">
        <v>5896</v>
      </c>
      <c r="J176" s="160">
        <v>6933</v>
      </c>
      <c r="K176" s="160">
        <v>5493</v>
      </c>
      <c r="L176" s="160">
        <v>15624.4</v>
      </c>
      <c r="M176" s="160">
        <v>14883.199999999999</v>
      </c>
    </row>
    <row r="177" spans="1:13" x14ac:dyDescent="0.2">
      <c r="A177" s="160" t="s">
        <v>542</v>
      </c>
      <c r="B177" s="160">
        <v>10199</v>
      </c>
      <c r="C177" s="160">
        <v>9776</v>
      </c>
      <c r="D177" s="160">
        <v>8631</v>
      </c>
      <c r="E177" s="160">
        <v>8846</v>
      </c>
      <c r="F177" s="160">
        <v>6576</v>
      </c>
      <c r="G177" s="160">
        <v>5488</v>
      </c>
      <c r="H177" s="160">
        <v>6057</v>
      </c>
      <c r="I177" s="160">
        <v>7411</v>
      </c>
      <c r="J177" s="160">
        <v>1207</v>
      </c>
      <c r="K177" s="160">
        <v>1207</v>
      </c>
      <c r="L177" s="160">
        <f t="shared" si="4"/>
        <v>6534</v>
      </c>
      <c r="M177" s="160">
        <f t="shared" si="5"/>
        <v>6545.6</v>
      </c>
    </row>
    <row r="178" spans="1:13" x14ac:dyDescent="0.2">
      <c r="A178" s="160" t="s">
        <v>543</v>
      </c>
      <c r="B178" s="160">
        <v>3829</v>
      </c>
      <c r="C178" s="160">
        <v>7074</v>
      </c>
      <c r="D178" s="160">
        <v>5575</v>
      </c>
      <c r="E178" s="160">
        <v>9841</v>
      </c>
      <c r="F178" s="160">
        <v>2633</v>
      </c>
      <c r="G178" s="160">
        <v>3486</v>
      </c>
      <c r="H178" s="160">
        <v>5493</v>
      </c>
      <c r="I178" s="160">
        <v>6456</v>
      </c>
      <c r="J178" s="160">
        <v>1761</v>
      </c>
      <c r="K178" s="160">
        <v>1369</v>
      </c>
      <c r="L178" s="160">
        <f t="shared" si="4"/>
        <v>3858.2</v>
      </c>
      <c r="M178" s="160">
        <f t="shared" si="5"/>
        <v>5645.2</v>
      </c>
    </row>
    <row r="179" spans="1:13" x14ac:dyDescent="0.2">
      <c r="A179" s="160" t="s">
        <v>584</v>
      </c>
      <c r="B179" s="160">
        <v>1781</v>
      </c>
      <c r="C179" s="160">
        <v>3563</v>
      </c>
      <c r="D179" s="160">
        <v>2355</v>
      </c>
      <c r="E179" s="160">
        <v>3789</v>
      </c>
      <c r="F179" s="160">
        <v>3860</v>
      </c>
      <c r="G179" s="160">
        <v>3409</v>
      </c>
      <c r="H179" s="160">
        <v>3552</v>
      </c>
      <c r="I179" s="160">
        <v>2228</v>
      </c>
      <c r="J179" s="160">
        <v>2311</v>
      </c>
      <c r="K179" s="160">
        <v>2705</v>
      </c>
      <c r="L179" s="160">
        <f t="shared" si="4"/>
        <v>2771.8</v>
      </c>
      <c r="M179" s="160">
        <f t="shared" si="5"/>
        <v>3138.8</v>
      </c>
    </row>
    <row r="180" spans="1:13" x14ac:dyDescent="0.2">
      <c r="A180" s="160" t="s">
        <v>408</v>
      </c>
      <c r="B180" s="160">
        <v>1236</v>
      </c>
      <c r="C180" s="160">
        <v>1167</v>
      </c>
      <c r="D180" s="160">
        <v>3034</v>
      </c>
      <c r="E180" s="160">
        <v>2510</v>
      </c>
      <c r="F180" s="160">
        <v>3661</v>
      </c>
      <c r="G180" s="160">
        <v>5445</v>
      </c>
      <c r="H180" s="160">
        <v>5359</v>
      </c>
      <c r="I180" s="160">
        <v>5760</v>
      </c>
      <c r="J180" s="160">
        <v>7379</v>
      </c>
      <c r="K180" s="160">
        <v>7381</v>
      </c>
      <c r="L180" s="160">
        <f t="shared" si="4"/>
        <v>4133.8</v>
      </c>
      <c r="M180" s="160">
        <f t="shared" si="5"/>
        <v>4452.6000000000004</v>
      </c>
    </row>
    <row r="181" spans="1:13" x14ac:dyDescent="0.2">
      <c r="A181" s="160" t="s">
        <v>409</v>
      </c>
      <c r="B181" s="160">
        <v>11988</v>
      </c>
      <c r="C181" s="160">
        <v>9200</v>
      </c>
      <c r="D181" s="160">
        <v>8188</v>
      </c>
      <c r="E181" s="160">
        <v>7164</v>
      </c>
      <c r="F181" s="160">
        <v>17951</v>
      </c>
      <c r="G181" s="160">
        <v>26324</v>
      </c>
      <c r="H181" s="160">
        <v>14219</v>
      </c>
      <c r="I181" s="160">
        <v>11008</v>
      </c>
      <c r="J181" s="160">
        <v>8526</v>
      </c>
      <c r="K181" s="160">
        <v>8242</v>
      </c>
      <c r="L181" s="160">
        <f t="shared" si="4"/>
        <v>12174.4</v>
      </c>
      <c r="M181" s="160">
        <f t="shared" si="5"/>
        <v>12387.6</v>
      </c>
    </row>
    <row r="182" spans="1:13" x14ac:dyDescent="0.2">
      <c r="A182" s="160" t="s">
        <v>457</v>
      </c>
      <c r="B182" s="160">
        <v>52816</v>
      </c>
      <c r="C182" s="160">
        <v>68386</v>
      </c>
      <c r="D182" s="160">
        <v>37717</v>
      </c>
      <c r="E182" s="160">
        <v>37323</v>
      </c>
      <c r="F182" s="160">
        <v>35655</v>
      </c>
      <c r="G182" s="160">
        <v>52531</v>
      </c>
      <c r="H182" s="160">
        <v>45348</v>
      </c>
      <c r="I182" s="160">
        <v>89045</v>
      </c>
      <c r="J182" s="160">
        <v>38538</v>
      </c>
      <c r="K182" s="160">
        <v>42276</v>
      </c>
      <c r="L182" s="160">
        <f t="shared" si="4"/>
        <v>42014.8</v>
      </c>
      <c r="M182" s="160">
        <f t="shared" si="5"/>
        <v>57912.2</v>
      </c>
    </row>
    <row r="183" spans="1:13" x14ac:dyDescent="0.2">
      <c r="A183" s="160" t="s">
        <v>410</v>
      </c>
      <c r="B183" s="160">
        <v>504</v>
      </c>
      <c r="C183" s="160">
        <v>350</v>
      </c>
      <c r="D183" s="160">
        <v>828</v>
      </c>
      <c r="E183" s="160">
        <v>737</v>
      </c>
      <c r="F183" s="160">
        <v>406</v>
      </c>
      <c r="G183" s="160">
        <v>386</v>
      </c>
      <c r="H183" s="160">
        <v>521</v>
      </c>
      <c r="I183" s="160">
        <v>221</v>
      </c>
      <c r="J183" s="160">
        <v>126</v>
      </c>
      <c r="K183" s="160">
        <v>146</v>
      </c>
      <c r="L183" s="160">
        <f t="shared" si="4"/>
        <v>477</v>
      </c>
      <c r="M183" s="160">
        <f t="shared" si="5"/>
        <v>368</v>
      </c>
    </row>
    <row r="184" spans="1:13" x14ac:dyDescent="0.2">
      <c r="A184" s="160" t="s">
        <v>239</v>
      </c>
      <c r="B184" s="160">
        <v>10016</v>
      </c>
      <c r="C184" s="160">
        <v>9522</v>
      </c>
      <c r="D184" s="160">
        <v>7623</v>
      </c>
      <c r="E184" s="160">
        <v>9251</v>
      </c>
      <c r="F184" s="160">
        <v>6333</v>
      </c>
      <c r="G184" s="160">
        <v>6705</v>
      </c>
      <c r="H184" s="160">
        <v>5059</v>
      </c>
      <c r="I184" s="160">
        <v>4624</v>
      </c>
      <c r="J184" s="160">
        <v>4653</v>
      </c>
      <c r="K184" s="160">
        <v>4183</v>
      </c>
      <c r="L184" s="160">
        <f t="shared" si="4"/>
        <v>6736.8</v>
      </c>
      <c r="M184" s="160">
        <f t="shared" si="5"/>
        <v>6857</v>
      </c>
    </row>
    <row r="185" spans="1:13" x14ac:dyDescent="0.2">
      <c r="A185" s="160" t="s">
        <v>458</v>
      </c>
      <c r="B185" s="160">
        <v>2970</v>
      </c>
      <c r="C185" s="160">
        <v>2958</v>
      </c>
      <c r="D185" s="160">
        <v>4346</v>
      </c>
      <c r="E185" s="160">
        <v>4433</v>
      </c>
      <c r="F185" s="160">
        <v>4301</v>
      </c>
      <c r="G185" s="160">
        <v>5126</v>
      </c>
      <c r="H185" s="160">
        <v>5980</v>
      </c>
      <c r="I185" s="160">
        <v>7219</v>
      </c>
      <c r="J185" s="160">
        <v>9652</v>
      </c>
      <c r="K185" s="160">
        <v>9701</v>
      </c>
      <c r="L185" s="160">
        <f t="shared" si="4"/>
        <v>5449.8</v>
      </c>
      <c r="M185" s="160">
        <f t="shared" si="5"/>
        <v>5887.4</v>
      </c>
    </row>
    <row r="186" spans="1:13" x14ac:dyDescent="0.2">
      <c r="A186" s="160" t="s">
        <v>262</v>
      </c>
      <c r="B186" s="160">
        <v>49363.258046184841</v>
      </c>
      <c r="C186" s="160">
        <v>51347.577000568272</v>
      </c>
      <c r="D186" s="160">
        <v>76515.49458483755</v>
      </c>
      <c r="E186" s="160">
        <v>78887.961010830331</v>
      </c>
      <c r="F186" s="160">
        <v>86535.623517276952</v>
      </c>
      <c r="G186" s="160">
        <v>87515.149664775658</v>
      </c>
      <c r="H186" s="160">
        <v>19680.286952037131</v>
      </c>
      <c r="I186" s="160">
        <v>18969.330273336771</v>
      </c>
      <c r="J186" s="160">
        <v>23556</v>
      </c>
      <c r="K186" s="160">
        <v>23121</v>
      </c>
      <c r="L186" s="160">
        <f t="shared" si="4"/>
        <v>51130.132620067292</v>
      </c>
      <c r="M186" s="160">
        <f t="shared" si="5"/>
        <v>51968.203589902208</v>
      </c>
    </row>
    <row r="187" spans="1:13" x14ac:dyDescent="0.2">
      <c r="A187" s="160" t="s">
        <v>263</v>
      </c>
      <c r="B187" s="160">
        <v>450</v>
      </c>
      <c r="C187" s="160">
        <v>351</v>
      </c>
      <c r="D187" s="160">
        <v>384</v>
      </c>
      <c r="E187" s="160">
        <v>1489</v>
      </c>
      <c r="F187" s="160">
        <v>342</v>
      </c>
      <c r="G187" s="160">
        <v>553</v>
      </c>
      <c r="H187" s="160">
        <v>241</v>
      </c>
      <c r="I187" s="160">
        <v>1135</v>
      </c>
      <c r="J187" s="160">
        <v>152</v>
      </c>
      <c r="K187" s="160">
        <v>298</v>
      </c>
      <c r="L187" s="160">
        <f t="shared" si="4"/>
        <v>313.8</v>
      </c>
      <c r="M187" s="160">
        <f t="shared" si="5"/>
        <v>765.2</v>
      </c>
    </row>
    <row r="188" spans="1:13" x14ac:dyDescent="0.2">
      <c r="A188" s="160" t="s">
        <v>459</v>
      </c>
      <c r="B188" s="160">
        <v>54264</v>
      </c>
      <c r="C188" s="160">
        <v>92279</v>
      </c>
      <c r="D188" s="160">
        <v>36733</v>
      </c>
      <c r="E188" s="160">
        <v>42391</v>
      </c>
      <c r="F188" s="160">
        <v>40363</v>
      </c>
      <c r="G188" s="160">
        <v>53626</v>
      </c>
      <c r="H188" s="160">
        <v>27796</v>
      </c>
      <c r="I188" s="160">
        <v>43167</v>
      </c>
      <c r="J188" s="160">
        <v>30389</v>
      </c>
      <c r="K188" s="160">
        <v>38485</v>
      </c>
      <c r="L188" s="160">
        <f t="shared" si="4"/>
        <v>37909</v>
      </c>
      <c r="M188" s="160">
        <f t="shared" si="5"/>
        <v>53989.599999999999</v>
      </c>
    </row>
    <row r="189" spans="1:13" x14ac:dyDescent="0.2">
      <c r="A189" s="160" t="s">
        <v>460</v>
      </c>
      <c r="B189" s="160">
        <v>13871</v>
      </c>
      <c r="C189" s="160">
        <v>13554</v>
      </c>
      <c r="D189" s="160">
        <v>6595</v>
      </c>
      <c r="E189" s="160">
        <v>8806</v>
      </c>
      <c r="F189" s="160">
        <v>19895</v>
      </c>
      <c r="G189" s="160">
        <v>15029</v>
      </c>
      <c r="H189" s="160">
        <v>8920</v>
      </c>
      <c r="I189" s="160">
        <v>9339</v>
      </c>
      <c r="J189" s="160">
        <v>8832</v>
      </c>
      <c r="K189" s="160">
        <v>11672</v>
      </c>
      <c r="L189" s="160">
        <f t="shared" si="4"/>
        <v>11622.6</v>
      </c>
      <c r="M189" s="160">
        <f t="shared" si="5"/>
        <v>11680</v>
      </c>
    </row>
    <row r="190" spans="1:13" x14ac:dyDescent="0.2">
      <c r="A190" s="160" t="s">
        <v>461</v>
      </c>
      <c r="B190" s="160">
        <v>16353</v>
      </c>
      <c r="C190" s="160">
        <v>19271</v>
      </c>
      <c r="D190" s="160">
        <v>23736</v>
      </c>
      <c r="E190" s="160">
        <v>26641</v>
      </c>
      <c r="F190" s="160">
        <v>27614</v>
      </c>
      <c r="G190" s="160">
        <v>28621</v>
      </c>
      <c r="H190" s="160">
        <v>9565</v>
      </c>
      <c r="I190" s="160">
        <v>12221</v>
      </c>
      <c r="J190" s="160">
        <v>24743</v>
      </c>
      <c r="K190" s="160">
        <v>25943</v>
      </c>
      <c r="L190" s="160">
        <f t="shared" si="4"/>
        <v>20402.2</v>
      </c>
      <c r="M190" s="160">
        <f t="shared" si="5"/>
        <v>22539.4</v>
      </c>
    </row>
    <row r="191" spans="1:13" x14ac:dyDescent="0.2">
      <c r="A191" s="160" t="s">
        <v>608</v>
      </c>
      <c r="B191" s="160">
        <v>39569</v>
      </c>
      <c r="C191" s="160">
        <v>43107</v>
      </c>
      <c r="D191" s="160">
        <v>28945</v>
      </c>
      <c r="E191" s="160">
        <v>34903</v>
      </c>
      <c r="F191" s="160">
        <v>34115</v>
      </c>
      <c r="G191" s="160">
        <v>43714</v>
      </c>
      <c r="H191" s="160">
        <v>15612</v>
      </c>
      <c r="I191" s="160">
        <v>20801</v>
      </c>
      <c r="J191" s="160">
        <v>17022</v>
      </c>
      <c r="K191" s="160">
        <v>15597</v>
      </c>
      <c r="L191" s="160">
        <f t="shared" si="4"/>
        <v>27052.6</v>
      </c>
      <c r="M191" s="160">
        <f t="shared" si="5"/>
        <v>31624.400000000001</v>
      </c>
    </row>
    <row r="192" spans="1:13" x14ac:dyDescent="0.2">
      <c r="A192" s="160" t="s">
        <v>585</v>
      </c>
      <c r="B192" s="160">
        <v>2244</v>
      </c>
      <c r="C192" s="160">
        <v>2354</v>
      </c>
      <c r="D192" s="160">
        <v>1996</v>
      </c>
      <c r="E192" s="160">
        <v>2164</v>
      </c>
      <c r="F192" s="160">
        <v>447</v>
      </c>
      <c r="G192" s="160">
        <v>1852</v>
      </c>
      <c r="H192" s="160">
        <v>610</v>
      </c>
      <c r="I192" s="160">
        <v>3744</v>
      </c>
      <c r="J192" s="160">
        <v>373</v>
      </c>
      <c r="K192" s="160">
        <v>345</v>
      </c>
      <c r="L192" s="160">
        <f t="shared" si="4"/>
        <v>1134</v>
      </c>
      <c r="M192" s="160">
        <f t="shared" si="5"/>
        <v>2091.8000000000002</v>
      </c>
    </row>
    <row r="193" spans="1:13" x14ac:dyDescent="0.2">
      <c r="A193" s="160" t="s">
        <v>363</v>
      </c>
      <c r="B193" s="160">
        <v>21154</v>
      </c>
      <c r="C193" s="160">
        <v>12362</v>
      </c>
      <c r="D193" s="160">
        <v>12560</v>
      </c>
      <c r="E193" s="160">
        <v>10679</v>
      </c>
      <c r="F193" s="160">
        <v>3711</v>
      </c>
      <c r="G193" s="160">
        <v>2978</v>
      </c>
      <c r="H193" s="160">
        <v>4482</v>
      </c>
      <c r="I193" s="160">
        <v>6581</v>
      </c>
      <c r="J193" s="160">
        <v>10485</v>
      </c>
      <c r="K193" s="160">
        <v>10634</v>
      </c>
      <c r="L193" s="160">
        <f t="shared" ref="L193:L254" si="6">SUM(B193,D193,F193,H193,J193)/5</f>
        <v>10478.4</v>
      </c>
      <c r="M193" s="160">
        <f t="shared" ref="M193:M254" si="7">SUM(C193,E193,G193,I193,K193)/5</f>
        <v>8646.7999999999993</v>
      </c>
    </row>
    <row r="194" spans="1:13" x14ac:dyDescent="0.2">
      <c r="A194" s="160" t="s">
        <v>322</v>
      </c>
      <c r="B194" s="160">
        <v>4024</v>
      </c>
      <c r="C194" s="160">
        <v>3221</v>
      </c>
      <c r="D194" s="160">
        <v>929</v>
      </c>
      <c r="E194" s="160">
        <v>80</v>
      </c>
      <c r="F194" s="160">
        <v>1642</v>
      </c>
      <c r="G194" s="160">
        <v>1547</v>
      </c>
      <c r="H194" s="160">
        <v>1941</v>
      </c>
      <c r="I194" s="160">
        <v>1005</v>
      </c>
      <c r="J194" s="160">
        <v>228</v>
      </c>
      <c r="K194" s="160">
        <v>223</v>
      </c>
      <c r="L194" s="160">
        <f t="shared" si="6"/>
        <v>1752.8</v>
      </c>
      <c r="M194" s="160">
        <f t="shared" si="7"/>
        <v>1215.2</v>
      </c>
    </row>
    <row r="195" spans="1:13" x14ac:dyDescent="0.2">
      <c r="A195" s="160" t="s">
        <v>323</v>
      </c>
      <c r="B195" s="160">
        <v>9342</v>
      </c>
      <c r="C195" s="160">
        <v>10951</v>
      </c>
      <c r="D195" s="160">
        <v>3752</v>
      </c>
      <c r="E195" s="160">
        <v>6874</v>
      </c>
      <c r="F195" s="160">
        <v>11659</v>
      </c>
      <c r="G195" s="160">
        <v>11459</v>
      </c>
      <c r="H195" s="160">
        <v>4279</v>
      </c>
      <c r="I195" s="160">
        <v>3251</v>
      </c>
      <c r="J195" s="160">
        <v>2499</v>
      </c>
      <c r="K195" s="160">
        <v>2696</v>
      </c>
      <c r="L195" s="160">
        <f t="shared" si="6"/>
        <v>6306.2</v>
      </c>
      <c r="M195" s="160">
        <f t="shared" si="7"/>
        <v>7046.2</v>
      </c>
    </row>
    <row r="196" spans="1:13" x14ac:dyDescent="0.2">
      <c r="A196" s="160" t="s">
        <v>462</v>
      </c>
      <c r="B196" s="160">
        <v>1140</v>
      </c>
      <c r="C196" s="160">
        <v>1109</v>
      </c>
      <c r="D196" s="160">
        <v>241</v>
      </c>
      <c r="E196" s="160">
        <v>1514</v>
      </c>
      <c r="F196" s="160">
        <v>136</v>
      </c>
      <c r="G196" s="160">
        <v>982</v>
      </c>
      <c r="H196" s="160">
        <v>1145</v>
      </c>
      <c r="I196" s="160">
        <v>1050</v>
      </c>
      <c r="J196" s="160">
        <v>175</v>
      </c>
      <c r="K196" s="160">
        <v>1075</v>
      </c>
      <c r="L196" s="160">
        <f t="shared" si="6"/>
        <v>567.4</v>
      </c>
      <c r="M196" s="160">
        <f t="shared" si="7"/>
        <v>1146</v>
      </c>
    </row>
    <row r="197" spans="1:13" x14ac:dyDescent="0.2">
      <c r="A197" s="160" t="s">
        <v>264</v>
      </c>
      <c r="B197" s="160">
        <v>1006</v>
      </c>
      <c r="C197" s="160">
        <v>1048</v>
      </c>
      <c r="D197" s="160">
        <v>508</v>
      </c>
      <c r="E197" s="160">
        <v>634</v>
      </c>
      <c r="F197" s="160">
        <v>465</v>
      </c>
      <c r="G197" s="160">
        <v>506</v>
      </c>
      <c r="H197" s="160">
        <v>477</v>
      </c>
      <c r="I197" s="160">
        <v>568</v>
      </c>
      <c r="J197" s="160">
        <v>251</v>
      </c>
      <c r="K197" s="160">
        <v>337</v>
      </c>
      <c r="L197" s="160">
        <f t="shared" si="6"/>
        <v>541.4</v>
      </c>
      <c r="M197" s="160">
        <f t="shared" si="7"/>
        <v>618.6</v>
      </c>
    </row>
    <row r="198" spans="1:13" x14ac:dyDescent="0.2">
      <c r="A198" s="160" t="s">
        <v>324</v>
      </c>
      <c r="B198" s="160">
        <v>19967</v>
      </c>
      <c r="C198" s="160">
        <v>24035</v>
      </c>
      <c r="D198" s="160">
        <v>15424</v>
      </c>
      <c r="E198" s="160">
        <v>17261</v>
      </c>
      <c r="F198" s="160">
        <v>6560</v>
      </c>
      <c r="G198" s="160">
        <v>7208</v>
      </c>
      <c r="H198" s="160">
        <v>8401</v>
      </c>
      <c r="I198" s="160">
        <v>8546</v>
      </c>
      <c r="J198" s="160">
        <v>1812</v>
      </c>
      <c r="K198" s="160">
        <v>1833</v>
      </c>
      <c r="L198" s="160">
        <f t="shared" si="6"/>
        <v>10432.799999999999</v>
      </c>
      <c r="M198" s="160">
        <f t="shared" si="7"/>
        <v>11776.6</v>
      </c>
    </row>
    <row r="199" spans="1:13" x14ac:dyDescent="0.2">
      <c r="A199" s="160" t="s">
        <v>544</v>
      </c>
      <c r="B199" s="160">
        <v>7545</v>
      </c>
      <c r="C199" s="160">
        <v>8139</v>
      </c>
      <c r="D199" s="160">
        <v>4435</v>
      </c>
      <c r="E199" s="160">
        <v>5672</v>
      </c>
      <c r="F199" s="160">
        <v>4651</v>
      </c>
      <c r="G199" s="160">
        <v>8986</v>
      </c>
      <c r="H199" s="160">
        <v>3209</v>
      </c>
      <c r="I199" s="160">
        <v>4583</v>
      </c>
      <c r="J199" s="160">
        <v>861</v>
      </c>
      <c r="K199" s="160">
        <v>942</v>
      </c>
      <c r="L199" s="160">
        <f t="shared" si="6"/>
        <v>4140.2</v>
      </c>
      <c r="M199" s="160">
        <f t="shared" si="7"/>
        <v>5664.4</v>
      </c>
    </row>
    <row r="200" spans="1:13" x14ac:dyDescent="0.2">
      <c r="A200" s="160" t="s">
        <v>364</v>
      </c>
      <c r="B200" s="160">
        <v>2899</v>
      </c>
      <c r="C200" s="160">
        <v>1495</v>
      </c>
      <c r="D200" s="160">
        <v>0</v>
      </c>
      <c r="E200" s="160">
        <v>0</v>
      </c>
      <c r="F200" s="160">
        <v>0</v>
      </c>
      <c r="G200" s="160">
        <v>0</v>
      </c>
      <c r="H200" s="160">
        <v>0</v>
      </c>
      <c r="I200" s="160">
        <v>0</v>
      </c>
      <c r="J200" s="160">
        <v>0</v>
      </c>
      <c r="K200" s="160">
        <v>0</v>
      </c>
      <c r="L200" s="160">
        <f t="shared" si="6"/>
        <v>579.79999999999995</v>
      </c>
      <c r="M200" s="160">
        <f t="shared" si="7"/>
        <v>299</v>
      </c>
    </row>
    <row r="201" spans="1:13" x14ac:dyDescent="0.2">
      <c r="A201" s="160" t="s">
        <v>240</v>
      </c>
      <c r="B201" s="160">
        <v>1910</v>
      </c>
      <c r="C201" s="160">
        <v>2116</v>
      </c>
      <c r="D201" s="160">
        <v>1054</v>
      </c>
      <c r="E201" s="160">
        <v>2295</v>
      </c>
      <c r="F201" s="160">
        <v>1390</v>
      </c>
      <c r="G201" s="160">
        <v>1847</v>
      </c>
      <c r="H201" s="160">
        <v>1040</v>
      </c>
      <c r="I201" s="160">
        <v>1177</v>
      </c>
      <c r="J201" s="160">
        <v>2732</v>
      </c>
      <c r="K201" s="160">
        <v>2763</v>
      </c>
      <c r="L201" s="160">
        <f t="shared" si="6"/>
        <v>1625.2</v>
      </c>
      <c r="M201" s="160">
        <f t="shared" si="7"/>
        <v>2039.6</v>
      </c>
    </row>
    <row r="202" spans="1:13" x14ac:dyDescent="0.2">
      <c r="A202" s="160" t="s">
        <v>285</v>
      </c>
      <c r="B202" s="160">
        <v>3794</v>
      </c>
      <c r="C202" s="160">
        <v>3627</v>
      </c>
      <c r="D202" s="160">
        <v>3998</v>
      </c>
      <c r="E202" s="160">
        <v>9334</v>
      </c>
      <c r="F202" s="160">
        <v>2852</v>
      </c>
      <c r="G202" s="160">
        <v>2920</v>
      </c>
      <c r="H202" s="160">
        <v>2342</v>
      </c>
      <c r="I202" s="160">
        <v>2897</v>
      </c>
      <c r="J202" s="160">
        <v>7840</v>
      </c>
      <c r="K202" s="160">
        <v>8231</v>
      </c>
      <c r="L202" s="160">
        <f t="shared" si="6"/>
        <v>4165.2</v>
      </c>
      <c r="M202" s="160">
        <f t="shared" si="7"/>
        <v>5401.8</v>
      </c>
    </row>
    <row r="203" spans="1:13" x14ac:dyDescent="0.2">
      <c r="A203" s="160" t="s">
        <v>325</v>
      </c>
      <c r="B203" s="160">
        <v>5381</v>
      </c>
      <c r="C203" s="160">
        <v>6019</v>
      </c>
      <c r="D203" s="160">
        <v>3553</v>
      </c>
      <c r="E203" s="160">
        <v>5965</v>
      </c>
      <c r="F203" s="160">
        <v>2054</v>
      </c>
      <c r="G203" s="160">
        <v>3147</v>
      </c>
      <c r="H203" s="160">
        <v>3249</v>
      </c>
      <c r="I203" s="160">
        <v>2891</v>
      </c>
      <c r="J203" s="160">
        <v>8130</v>
      </c>
      <c r="K203" s="160">
        <v>8142</v>
      </c>
      <c r="L203" s="160">
        <f t="shared" si="6"/>
        <v>4473.3999999999996</v>
      </c>
      <c r="M203" s="160">
        <f t="shared" si="7"/>
        <v>5232.8</v>
      </c>
    </row>
    <row r="204" spans="1:13" x14ac:dyDescent="0.2">
      <c r="A204" s="160" t="s">
        <v>586</v>
      </c>
      <c r="B204" s="160">
        <v>732</v>
      </c>
      <c r="C204" s="160">
        <v>1227</v>
      </c>
      <c r="D204" s="160">
        <v>3948</v>
      </c>
      <c r="E204" s="160">
        <v>2941</v>
      </c>
      <c r="F204" s="160">
        <v>2635</v>
      </c>
      <c r="G204" s="160">
        <v>2725</v>
      </c>
      <c r="H204" s="160">
        <v>1090</v>
      </c>
      <c r="I204" s="160">
        <v>3254</v>
      </c>
      <c r="J204" s="160">
        <v>1003</v>
      </c>
      <c r="K204" s="160">
        <v>361</v>
      </c>
      <c r="L204" s="160">
        <f t="shared" si="6"/>
        <v>1881.6</v>
      </c>
      <c r="M204" s="160">
        <f t="shared" si="7"/>
        <v>2101.6</v>
      </c>
    </row>
    <row r="205" spans="1:13" x14ac:dyDescent="0.2">
      <c r="A205" s="160" t="s">
        <v>463</v>
      </c>
      <c r="B205" s="160">
        <v>5013</v>
      </c>
      <c r="C205" s="160">
        <v>5039</v>
      </c>
      <c r="D205" s="160">
        <v>2902</v>
      </c>
      <c r="E205" s="160">
        <v>3469</v>
      </c>
      <c r="F205" s="160">
        <v>10823</v>
      </c>
      <c r="G205" s="160">
        <v>12443</v>
      </c>
      <c r="H205" s="160">
        <v>6435</v>
      </c>
      <c r="I205" s="160">
        <v>8919</v>
      </c>
      <c r="J205" s="160">
        <v>5298</v>
      </c>
      <c r="K205" s="160">
        <v>5357</v>
      </c>
      <c r="L205" s="160">
        <f t="shared" si="6"/>
        <v>6094.2</v>
      </c>
      <c r="M205" s="160">
        <f t="shared" si="7"/>
        <v>7045.4</v>
      </c>
    </row>
    <row r="206" spans="1:13" x14ac:dyDescent="0.2">
      <c r="A206" s="160" t="s">
        <v>587</v>
      </c>
      <c r="B206" s="160">
        <v>65194</v>
      </c>
      <c r="C206" s="160">
        <v>65200</v>
      </c>
      <c r="D206" s="160">
        <v>4253</v>
      </c>
      <c r="E206" s="160">
        <v>4252</v>
      </c>
      <c r="F206" s="160">
        <v>26611</v>
      </c>
      <c r="G206" s="160">
        <v>26610</v>
      </c>
      <c r="H206" s="160">
        <v>61762</v>
      </c>
      <c r="I206" s="160">
        <v>65322</v>
      </c>
      <c r="J206" s="160">
        <v>24762</v>
      </c>
      <c r="K206" s="160">
        <v>23505</v>
      </c>
      <c r="L206" s="160">
        <f t="shared" si="6"/>
        <v>36516.400000000001</v>
      </c>
      <c r="M206" s="160">
        <f t="shared" si="7"/>
        <v>36977.800000000003</v>
      </c>
    </row>
    <row r="207" spans="1:13" x14ac:dyDescent="0.2">
      <c r="A207" s="160" t="s">
        <v>241</v>
      </c>
      <c r="B207" s="160">
        <v>974</v>
      </c>
      <c r="C207" s="160">
        <v>790</v>
      </c>
      <c r="D207" s="160">
        <v>1113</v>
      </c>
      <c r="E207" s="160">
        <v>996</v>
      </c>
      <c r="F207" s="160">
        <v>1022</v>
      </c>
      <c r="G207" s="160">
        <v>1564</v>
      </c>
      <c r="H207" s="160">
        <v>468</v>
      </c>
      <c r="I207" s="160">
        <v>461</v>
      </c>
      <c r="J207" s="160">
        <v>1637</v>
      </c>
      <c r="K207" s="160">
        <v>1637</v>
      </c>
      <c r="L207" s="160">
        <f t="shared" si="6"/>
        <v>1042.8</v>
      </c>
      <c r="M207" s="160">
        <f t="shared" si="7"/>
        <v>1089.5999999999999</v>
      </c>
    </row>
    <row r="208" spans="1:13" x14ac:dyDescent="0.2">
      <c r="A208" s="160" t="s">
        <v>411</v>
      </c>
      <c r="B208" s="160">
        <v>6410</v>
      </c>
      <c r="C208" s="160">
        <v>4184</v>
      </c>
      <c r="D208" s="160">
        <v>10304</v>
      </c>
      <c r="E208" s="160">
        <v>10614</v>
      </c>
      <c r="F208" s="160">
        <v>5961</v>
      </c>
      <c r="G208" s="160">
        <v>8495</v>
      </c>
      <c r="H208" s="160">
        <v>6155</v>
      </c>
      <c r="I208" s="160">
        <v>4598</v>
      </c>
      <c r="J208" s="160">
        <v>1683</v>
      </c>
      <c r="K208" s="160">
        <v>1061</v>
      </c>
      <c r="L208" s="160">
        <f t="shared" si="6"/>
        <v>6102.6</v>
      </c>
      <c r="M208" s="160">
        <f t="shared" si="7"/>
        <v>5790.4</v>
      </c>
    </row>
    <row r="209" spans="1:13" x14ac:dyDescent="0.2">
      <c r="A209" s="160" t="s">
        <v>588</v>
      </c>
      <c r="B209" s="160">
        <v>1195</v>
      </c>
      <c r="C209" s="160">
        <v>1328</v>
      </c>
      <c r="D209" s="160">
        <v>1276</v>
      </c>
      <c r="E209" s="160">
        <v>1441</v>
      </c>
      <c r="F209" s="160">
        <v>712</v>
      </c>
      <c r="G209" s="160">
        <v>604</v>
      </c>
      <c r="H209" s="160">
        <v>1102</v>
      </c>
      <c r="I209" s="160">
        <v>1436</v>
      </c>
      <c r="J209" s="160">
        <v>373</v>
      </c>
      <c r="K209" s="160">
        <v>291</v>
      </c>
      <c r="L209" s="160">
        <f t="shared" si="6"/>
        <v>931.6</v>
      </c>
      <c r="M209" s="160">
        <f t="shared" si="7"/>
        <v>1020</v>
      </c>
    </row>
    <row r="210" spans="1:13" x14ac:dyDescent="0.2">
      <c r="A210" s="160" t="s">
        <v>265</v>
      </c>
      <c r="B210" s="160">
        <v>1081</v>
      </c>
      <c r="C210" s="160">
        <v>1133</v>
      </c>
      <c r="D210" s="160">
        <v>433</v>
      </c>
      <c r="E210" s="160">
        <v>467</v>
      </c>
      <c r="F210" s="160">
        <v>2070</v>
      </c>
      <c r="G210" s="160">
        <v>2026</v>
      </c>
      <c r="H210" s="160">
        <v>1644</v>
      </c>
      <c r="I210" s="160">
        <v>1664</v>
      </c>
      <c r="J210" s="160">
        <v>31</v>
      </c>
      <c r="K210" s="160">
        <v>58</v>
      </c>
      <c r="L210" s="160">
        <f t="shared" si="6"/>
        <v>1051.8</v>
      </c>
      <c r="M210" s="160">
        <f t="shared" si="7"/>
        <v>1069.5999999999999</v>
      </c>
    </row>
    <row r="211" spans="1:13" x14ac:dyDescent="0.2">
      <c r="A211" s="160" t="s">
        <v>242</v>
      </c>
      <c r="B211" s="160">
        <v>1035</v>
      </c>
      <c r="C211" s="160">
        <v>1038</v>
      </c>
      <c r="D211" s="160">
        <v>643</v>
      </c>
      <c r="E211" s="160">
        <v>652</v>
      </c>
      <c r="F211" s="160">
        <v>413</v>
      </c>
      <c r="G211" s="160">
        <v>418</v>
      </c>
      <c r="H211" s="160">
        <v>215</v>
      </c>
      <c r="I211" s="160">
        <v>271</v>
      </c>
      <c r="J211" s="160">
        <v>80</v>
      </c>
      <c r="K211" s="160">
        <v>101</v>
      </c>
      <c r="L211" s="160">
        <f t="shared" si="6"/>
        <v>477.2</v>
      </c>
      <c r="M211" s="160">
        <f t="shared" si="7"/>
        <v>496</v>
      </c>
    </row>
    <row r="212" spans="1:13" x14ac:dyDescent="0.2">
      <c r="A212" s="160" t="s">
        <v>222</v>
      </c>
      <c r="B212" s="160">
        <v>12571</v>
      </c>
      <c r="C212" s="160">
        <v>16483</v>
      </c>
      <c r="D212" s="160">
        <v>8240</v>
      </c>
      <c r="E212" s="160">
        <v>11623</v>
      </c>
      <c r="F212" s="160">
        <v>11561</v>
      </c>
      <c r="G212" s="160">
        <v>27455</v>
      </c>
      <c r="H212" s="160">
        <v>4061</v>
      </c>
      <c r="I212" s="160">
        <v>4363</v>
      </c>
      <c r="J212" s="160">
        <v>9060</v>
      </c>
      <c r="K212" s="160">
        <v>9289</v>
      </c>
      <c r="L212" s="160">
        <f t="shared" si="6"/>
        <v>9098.6</v>
      </c>
      <c r="M212" s="160">
        <f t="shared" si="7"/>
        <v>13842.6</v>
      </c>
    </row>
    <row r="213" spans="1:13" x14ac:dyDescent="0.2">
      <c r="A213" s="160" t="s">
        <v>500</v>
      </c>
      <c r="B213" s="160">
        <v>16564</v>
      </c>
      <c r="C213" s="160">
        <v>18524</v>
      </c>
      <c r="D213" s="160">
        <v>18442</v>
      </c>
      <c r="E213" s="160">
        <v>19309</v>
      </c>
      <c r="F213" s="160">
        <v>31249</v>
      </c>
      <c r="G213" s="160">
        <v>41305</v>
      </c>
      <c r="H213" s="160">
        <v>10056</v>
      </c>
      <c r="I213" s="160">
        <v>14301</v>
      </c>
      <c r="J213" s="160">
        <v>14509</v>
      </c>
      <c r="K213" s="160">
        <v>15184</v>
      </c>
      <c r="L213" s="160">
        <f t="shared" si="6"/>
        <v>18164</v>
      </c>
      <c r="M213" s="160">
        <f t="shared" si="7"/>
        <v>21724.6</v>
      </c>
    </row>
    <row r="214" spans="1:13" x14ac:dyDescent="0.2">
      <c r="A214" s="160" t="s">
        <v>464</v>
      </c>
      <c r="B214" s="160">
        <v>14357</v>
      </c>
      <c r="C214" s="160">
        <v>14673</v>
      </c>
      <c r="D214" s="160">
        <v>15943</v>
      </c>
      <c r="E214" s="160">
        <v>17488</v>
      </c>
      <c r="F214" s="160">
        <v>2649</v>
      </c>
      <c r="G214" s="160">
        <v>7889</v>
      </c>
      <c r="H214" s="160">
        <v>14484</v>
      </c>
      <c r="I214" s="160">
        <v>14680</v>
      </c>
      <c r="J214" s="160">
        <v>11814</v>
      </c>
      <c r="K214" s="160">
        <v>11817</v>
      </c>
      <c r="L214" s="160">
        <f t="shared" si="6"/>
        <v>11849.4</v>
      </c>
      <c r="M214" s="160">
        <f t="shared" si="7"/>
        <v>13309.4</v>
      </c>
    </row>
    <row r="215" spans="1:13" x14ac:dyDescent="0.2">
      <c r="A215" s="160" t="s">
        <v>223</v>
      </c>
      <c r="B215" s="160">
        <v>2343</v>
      </c>
      <c r="C215" s="160">
        <v>1642</v>
      </c>
      <c r="D215" s="160">
        <v>2851</v>
      </c>
      <c r="E215" s="160">
        <v>2517</v>
      </c>
      <c r="F215" s="160">
        <v>3269</v>
      </c>
      <c r="G215" s="160">
        <v>4996</v>
      </c>
      <c r="H215" s="160">
        <v>1449</v>
      </c>
      <c r="I215" s="160">
        <v>1985</v>
      </c>
      <c r="J215" s="160">
        <v>3981</v>
      </c>
      <c r="K215" s="160">
        <v>3921</v>
      </c>
      <c r="L215" s="160">
        <f t="shared" si="6"/>
        <v>2778.6</v>
      </c>
      <c r="M215" s="160">
        <f t="shared" si="7"/>
        <v>3012.2</v>
      </c>
    </row>
    <row r="216" spans="1:13" x14ac:dyDescent="0.2">
      <c r="A216" s="160" t="s">
        <v>546</v>
      </c>
      <c r="B216" s="160">
        <v>1258</v>
      </c>
      <c r="C216" s="160">
        <v>621</v>
      </c>
      <c r="D216" s="160">
        <v>539</v>
      </c>
      <c r="E216" s="160">
        <v>374</v>
      </c>
      <c r="F216" s="160">
        <v>1234</v>
      </c>
      <c r="G216" s="160">
        <v>1098</v>
      </c>
      <c r="H216" s="160">
        <v>891</v>
      </c>
      <c r="I216" s="160">
        <v>803</v>
      </c>
      <c r="J216" s="160">
        <v>1441</v>
      </c>
      <c r="K216" s="160">
        <v>1440</v>
      </c>
      <c r="L216" s="160">
        <f t="shared" si="6"/>
        <v>1072.5999999999999</v>
      </c>
      <c r="M216" s="160">
        <f t="shared" si="7"/>
        <v>867.2</v>
      </c>
    </row>
    <row r="217" spans="1:13" x14ac:dyDescent="0.2">
      <c r="A217" s="160" t="s">
        <v>547</v>
      </c>
      <c r="B217" s="160">
        <v>16544</v>
      </c>
      <c r="C217" s="160">
        <v>17371</v>
      </c>
      <c r="D217" s="160">
        <v>7314</v>
      </c>
      <c r="E217" s="160">
        <v>5657</v>
      </c>
      <c r="F217" s="160">
        <v>13804</v>
      </c>
      <c r="G217" s="160">
        <v>13907</v>
      </c>
      <c r="H217" s="160">
        <v>3717</v>
      </c>
      <c r="I217" s="160">
        <v>4811</v>
      </c>
      <c r="J217" s="160">
        <v>3668</v>
      </c>
      <c r="K217" s="160">
        <v>4082</v>
      </c>
      <c r="L217" s="160">
        <f t="shared" si="6"/>
        <v>9009.4</v>
      </c>
      <c r="M217" s="160">
        <f t="shared" si="7"/>
        <v>9165.6</v>
      </c>
    </row>
    <row r="218" spans="1:13" x14ac:dyDescent="0.2">
      <c r="A218" s="160" t="s">
        <v>465</v>
      </c>
      <c r="B218" s="160">
        <v>7793</v>
      </c>
      <c r="C218" s="160">
        <v>7982</v>
      </c>
      <c r="D218" s="160">
        <v>12666</v>
      </c>
      <c r="E218" s="160">
        <v>10344</v>
      </c>
      <c r="F218" s="160">
        <v>6299</v>
      </c>
      <c r="G218" s="160">
        <v>5895</v>
      </c>
      <c r="H218" s="160">
        <v>6243</v>
      </c>
      <c r="I218" s="160">
        <v>8834</v>
      </c>
      <c r="J218" s="160">
        <v>20243</v>
      </c>
      <c r="K218" s="160">
        <v>20217</v>
      </c>
      <c r="L218" s="160">
        <f t="shared" si="6"/>
        <v>10648.8</v>
      </c>
      <c r="M218" s="160">
        <f t="shared" si="7"/>
        <v>10654.4</v>
      </c>
    </row>
    <row r="219" spans="1:13" x14ac:dyDescent="0.2">
      <c r="A219" s="160" t="s">
        <v>327</v>
      </c>
      <c r="B219" s="160">
        <v>12566</v>
      </c>
      <c r="C219" s="160">
        <v>10655</v>
      </c>
      <c r="D219" s="160">
        <v>8917</v>
      </c>
      <c r="E219" s="160">
        <v>7933</v>
      </c>
      <c r="F219" s="160">
        <v>4473</v>
      </c>
      <c r="G219" s="160">
        <v>4995</v>
      </c>
      <c r="H219" s="160">
        <v>13899</v>
      </c>
      <c r="I219" s="160">
        <v>16086</v>
      </c>
      <c r="J219" s="160">
        <v>53</v>
      </c>
      <c r="K219" s="160">
        <v>136</v>
      </c>
      <c r="L219" s="160">
        <f t="shared" si="6"/>
        <v>7981.6</v>
      </c>
      <c r="M219" s="160">
        <f t="shared" si="7"/>
        <v>7961</v>
      </c>
    </row>
    <row r="220" spans="1:13" x14ac:dyDescent="0.2">
      <c r="A220" s="160" t="s">
        <v>618</v>
      </c>
      <c r="B220" s="160">
        <v>7578</v>
      </c>
      <c r="C220" s="160">
        <v>8107</v>
      </c>
      <c r="D220" s="160">
        <v>7223</v>
      </c>
      <c r="E220" s="160">
        <v>6889</v>
      </c>
      <c r="F220" s="160">
        <v>3082</v>
      </c>
      <c r="G220" s="160">
        <v>3477</v>
      </c>
      <c r="H220" s="160">
        <v>3000</v>
      </c>
      <c r="I220" s="160">
        <v>3125</v>
      </c>
      <c r="J220" s="160">
        <v>2999</v>
      </c>
      <c r="K220" s="160">
        <v>2938</v>
      </c>
      <c r="L220" s="160">
        <f t="shared" si="6"/>
        <v>4776.3999999999996</v>
      </c>
      <c r="M220" s="160">
        <f t="shared" si="7"/>
        <v>4907.2</v>
      </c>
    </row>
    <row r="221" spans="1:13" x14ac:dyDescent="0.2">
      <c r="A221" s="160" t="s">
        <v>589</v>
      </c>
      <c r="B221" s="160">
        <v>34</v>
      </c>
      <c r="C221" s="160">
        <v>279</v>
      </c>
      <c r="D221" s="160">
        <v>1754</v>
      </c>
      <c r="E221" s="160">
        <v>108</v>
      </c>
      <c r="F221" s="160">
        <v>13</v>
      </c>
      <c r="G221" s="160">
        <v>51</v>
      </c>
      <c r="H221" s="160">
        <v>0</v>
      </c>
      <c r="I221" s="160">
        <v>38</v>
      </c>
      <c r="J221" s="160">
        <v>0</v>
      </c>
      <c r="K221" s="160">
        <v>29</v>
      </c>
      <c r="L221" s="160">
        <f t="shared" si="6"/>
        <v>360.2</v>
      </c>
      <c r="M221" s="160">
        <f t="shared" si="7"/>
        <v>101</v>
      </c>
    </row>
    <row r="222" spans="1:13" x14ac:dyDescent="0.2">
      <c r="A222" s="160" t="s">
        <v>412</v>
      </c>
      <c r="B222" s="160">
        <v>515</v>
      </c>
      <c r="C222" s="160">
        <v>270</v>
      </c>
      <c r="D222" s="160">
        <v>177</v>
      </c>
      <c r="E222" s="160">
        <v>181</v>
      </c>
      <c r="F222" s="160">
        <v>194</v>
      </c>
      <c r="G222" s="160">
        <v>194</v>
      </c>
      <c r="H222" s="160">
        <v>6539</v>
      </c>
      <c r="I222" s="160">
        <v>1073</v>
      </c>
      <c r="J222" s="160">
        <v>225</v>
      </c>
      <c r="K222" s="160">
        <v>225</v>
      </c>
      <c r="L222" s="160">
        <f t="shared" si="6"/>
        <v>1530</v>
      </c>
      <c r="M222" s="160">
        <f t="shared" si="7"/>
        <v>388.6</v>
      </c>
    </row>
    <row r="223" spans="1:13" x14ac:dyDescent="0.2">
      <c r="A223" s="160" t="s">
        <v>413</v>
      </c>
      <c r="B223" s="160">
        <v>829</v>
      </c>
      <c r="C223" s="160">
        <v>211</v>
      </c>
      <c r="D223" s="160">
        <v>105</v>
      </c>
      <c r="E223" s="160">
        <v>389</v>
      </c>
      <c r="F223" s="160">
        <v>4129</v>
      </c>
      <c r="G223" s="160">
        <v>4130</v>
      </c>
      <c r="H223" s="160">
        <v>2564</v>
      </c>
      <c r="I223" s="160">
        <v>2305</v>
      </c>
      <c r="J223" s="160">
        <v>139</v>
      </c>
      <c r="K223" s="160">
        <v>139</v>
      </c>
      <c r="L223" s="160">
        <f t="shared" si="6"/>
        <v>1553.2</v>
      </c>
      <c r="M223" s="160">
        <f t="shared" si="7"/>
        <v>1434.8</v>
      </c>
    </row>
    <row r="224" spans="1:13" x14ac:dyDescent="0.2">
      <c r="A224" s="160" t="s">
        <v>328</v>
      </c>
      <c r="B224" s="160">
        <v>5323</v>
      </c>
      <c r="C224" s="160">
        <v>4859</v>
      </c>
      <c r="D224" s="160">
        <v>7922</v>
      </c>
      <c r="E224" s="160">
        <v>8161</v>
      </c>
      <c r="F224" s="160">
        <v>5843</v>
      </c>
      <c r="G224" s="160">
        <v>6415</v>
      </c>
      <c r="H224" s="160">
        <v>3248</v>
      </c>
      <c r="I224" s="160">
        <v>4329</v>
      </c>
      <c r="J224" s="160">
        <v>6474</v>
      </c>
      <c r="K224" s="160">
        <v>8409</v>
      </c>
      <c r="L224" s="160">
        <f t="shared" si="6"/>
        <v>5762</v>
      </c>
      <c r="M224" s="160">
        <f t="shared" si="7"/>
        <v>6434.6</v>
      </c>
    </row>
    <row r="225" spans="1:13" x14ac:dyDescent="0.2">
      <c r="A225" s="160" t="s">
        <v>590</v>
      </c>
      <c r="B225" s="160">
        <v>5052</v>
      </c>
      <c r="C225" s="160">
        <v>4080</v>
      </c>
      <c r="D225" s="160">
        <v>9676</v>
      </c>
      <c r="E225" s="160">
        <v>10522</v>
      </c>
      <c r="F225" s="160">
        <v>6721</v>
      </c>
      <c r="G225" s="160">
        <v>6523</v>
      </c>
      <c r="H225" s="160">
        <v>3508</v>
      </c>
      <c r="I225" s="160">
        <v>4161</v>
      </c>
      <c r="J225" s="160">
        <v>3181</v>
      </c>
      <c r="K225" s="160">
        <v>3181</v>
      </c>
      <c r="L225" s="160">
        <f t="shared" si="6"/>
        <v>5627.6</v>
      </c>
      <c r="M225" s="160">
        <f t="shared" si="7"/>
        <v>5693.4</v>
      </c>
    </row>
    <row r="226" spans="1:13" x14ac:dyDescent="0.2">
      <c r="A226" s="160" t="s">
        <v>329</v>
      </c>
      <c r="B226" s="160">
        <v>2803</v>
      </c>
      <c r="C226" s="160">
        <v>3619</v>
      </c>
      <c r="D226" s="160">
        <v>1587</v>
      </c>
      <c r="E226" s="160">
        <v>839</v>
      </c>
      <c r="F226" s="160">
        <v>2678</v>
      </c>
      <c r="G226" s="160">
        <v>5133</v>
      </c>
      <c r="H226" s="160">
        <v>372</v>
      </c>
      <c r="I226" s="160">
        <v>474</v>
      </c>
      <c r="J226" s="160">
        <v>376</v>
      </c>
      <c r="K226" s="160">
        <v>425</v>
      </c>
      <c r="L226" s="160">
        <f t="shared" si="6"/>
        <v>1563.2</v>
      </c>
      <c r="M226" s="160">
        <f t="shared" si="7"/>
        <v>2098</v>
      </c>
    </row>
    <row r="227" spans="1:13" x14ac:dyDescent="0.2">
      <c r="A227" s="160" t="s">
        <v>366</v>
      </c>
      <c r="B227" s="160">
        <v>42800</v>
      </c>
      <c r="C227" s="160">
        <v>40736</v>
      </c>
      <c r="D227" s="160">
        <v>63766</v>
      </c>
      <c r="E227" s="160">
        <v>63262</v>
      </c>
      <c r="F227" s="160">
        <v>49930</v>
      </c>
      <c r="G227" s="160">
        <v>46724</v>
      </c>
      <c r="H227" s="160">
        <v>27718</v>
      </c>
      <c r="I227" s="160">
        <v>24304</v>
      </c>
      <c r="J227" s="160">
        <v>16409</v>
      </c>
      <c r="K227" s="160">
        <v>16409</v>
      </c>
      <c r="L227" s="160">
        <f t="shared" si="6"/>
        <v>40124.6</v>
      </c>
      <c r="M227" s="160">
        <f t="shared" si="7"/>
        <v>38287</v>
      </c>
    </row>
    <row r="228" spans="1:13" x14ac:dyDescent="0.2">
      <c r="A228" s="160" t="s">
        <v>467</v>
      </c>
      <c r="B228" s="160">
        <v>39445</v>
      </c>
      <c r="C228" s="160">
        <v>44611</v>
      </c>
      <c r="D228" s="160">
        <v>19371</v>
      </c>
      <c r="E228" s="160">
        <v>22483</v>
      </c>
      <c r="F228" s="160">
        <v>23280</v>
      </c>
      <c r="G228" s="160">
        <v>40608</v>
      </c>
      <c r="H228" s="160">
        <v>40707</v>
      </c>
      <c r="I228" s="160">
        <v>46072</v>
      </c>
      <c r="J228" s="160">
        <v>25573</v>
      </c>
      <c r="K228" s="160">
        <v>27224</v>
      </c>
      <c r="L228" s="160">
        <f t="shared" si="6"/>
        <v>29675.200000000001</v>
      </c>
      <c r="M228" s="160">
        <f t="shared" si="7"/>
        <v>36199.599999999999</v>
      </c>
    </row>
    <row r="229" spans="1:13" x14ac:dyDescent="0.2">
      <c r="A229" s="160" t="s">
        <v>330</v>
      </c>
      <c r="B229" s="160">
        <v>21637</v>
      </c>
      <c r="C229" s="160">
        <v>23727</v>
      </c>
      <c r="D229" s="160">
        <v>12806</v>
      </c>
      <c r="E229" s="160">
        <v>9973</v>
      </c>
      <c r="F229" s="160">
        <v>11890</v>
      </c>
      <c r="G229" s="160">
        <v>26441</v>
      </c>
      <c r="H229" s="160">
        <v>9019</v>
      </c>
      <c r="I229" s="160">
        <v>9626</v>
      </c>
      <c r="J229" s="160">
        <v>13143</v>
      </c>
      <c r="K229" s="160">
        <v>9711</v>
      </c>
      <c r="L229" s="160">
        <f t="shared" si="6"/>
        <v>13699</v>
      </c>
      <c r="M229" s="160">
        <f t="shared" si="7"/>
        <v>15895.6</v>
      </c>
    </row>
    <row r="230" spans="1:13" x14ac:dyDescent="0.2">
      <c r="A230" s="160" t="s">
        <v>331</v>
      </c>
      <c r="B230" s="160">
        <v>335668</v>
      </c>
      <c r="C230" s="160">
        <v>340665</v>
      </c>
      <c r="D230" s="160">
        <v>289913</v>
      </c>
      <c r="E230" s="160">
        <v>313366</v>
      </c>
      <c r="F230" s="160">
        <v>169908</v>
      </c>
      <c r="G230" s="160">
        <v>192499</v>
      </c>
      <c r="H230" s="160">
        <v>272592</v>
      </c>
      <c r="I230" s="160">
        <v>305648</v>
      </c>
      <c r="J230" s="160">
        <v>197369</v>
      </c>
      <c r="K230" s="160">
        <v>200938</v>
      </c>
      <c r="L230" s="160">
        <f t="shared" si="6"/>
        <v>253090</v>
      </c>
      <c r="M230" s="160">
        <f t="shared" si="7"/>
        <v>270623.2</v>
      </c>
    </row>
    <row r="231" spans="1:13" x14ac:dyDescent="0.2">
      <c r="A231" s="160" t="s">
        <v>743</v>
      </c>
      <c r="B231" s="160">
        <v>36433</v>
      </c>
      <c r="C231" s="160">
        <v>44468</v>
      </c>
      <c r="D231" s="160">
        <v>39785</v>
      </c>
      <c r="E231" s="160">
        <v>30987</v>
      </c>
      <c r="F231" s="160">
        <v>40685</v>
      </c>
      <c r="G231" s="160">
        <v>73872</v>
      </c>
      <c r="H231" s="160">
        <v>67381</v>
      </c>
      <c r="I231" s="160">
        <v>52193</v>
      </c>
      <c r="J231" s="160">
        <v>6293</v>
      </c>
      <c r="K231" s="160">
        <v>5733</v>
      </c>
      <c r="L231" s="160">
        <v>38115.4</v>
      </c>
      <c r="M231" s="160">
        <v>41450.6</v>
      </c>
    </row>
    <row r="232" spans="1:13" x14ac:dyDescent="0.2">
      <c r="A232" s="160" t="s">
        <v>501</v>
      </c>
      <c r="B232" s="160">
        <v>2975</v>
      </c>
      <c r="C232" s="160">
        <v>2930</v>
      </c>
      <c r="D232" s="160">
        <v>1236</v>
      </c>
      <c r="E232" s="160">
        <v>820</v>
      </c>
      <c r="F232" s="160">
        <v>604</v>
      </c>
      <c r="G232" s="160">
        <v>738</v>
      </c>
      <c r="H232" s="160">
        <v>977</v>
      </c>
      <c r="I232" s="160">
        <v>1040</v>
      </c>
      <c r="J232" s="160">
        <v>3846</v>
      </c>
      <c r="K232" s="160">
        <v>3788</v>
      </c>
      <c r="L232" s="160">
        <f t="shared" si="6"/>
        <v>1927.6</v>
      </c>
      <c r="M232" s="160">
        <f t="shared" si="7"/>
        <v>1863.2</v>
      </c>
    </row>
    <row r="233" spans="1:13" x14ac:dyDescent="0.2">
      <c r="A233" s="160" t="s">
        <v>224</v>
      </c>
      <c r="B233" s="160">
        <v>7442</v>
      </c>
      <c r="C233" s="160">
        <v>8645</v>
      </c>
      <c r="D233" s="160">
        <v>7041</v>
      </c>
      <c r="E233" s="160">
        <v>12318</v>
      </c>
      <c r="F233" s="160">
        <v>6341</v>
      </c>
      <c r="G233" s="160">
        <v>7970</v>
      </c>
      <c r="H233" s="160">
        <v>2721</v>
      </c>
      <c r="I233" s="160">
        <v>5269</v>
      </c>
      <c r="J233" s="160">
        <v>157</v>
      </c>
      <c r="K233" s="160">
        <v>1082</v>
      </c>
      <c r="L233" s="160">
        <f t="shared" si="6"/>
        <v>4740.3999999999996</v>
      </c>
      <c r="M233" s="160">
        <f t="shared" si="7"/>
        <v>7056.8</v>
      </c>
    </row>
    <row r="234" spans="1:13" x14ac:dyDescent="0.2">
      <c r="A234" s="160" t="s">
        <v>609</v>
      </c>
      <c r="B234" s="160">
        <v>15702</v>
      </c>
      <c r="C234" s="160">
        <v>20488</v>
      </c>
      <c r="D234" s="160">
        <v>11285</v>
      </c>
      <c r="E234" s="160">
        <v>15545</v>
      </c>
      <c r="F234" s="160">
        <v>8551</v>
      </c>
      <c r="G234" s="160">
        <v>14645</v>
      </c>
      <c r="H234" s="160">
        <v>4397</v>
      </c>
      <c r="I234" s="160">
        <v>3676</v>
      </c>
      <c r="J234" s="160">
        <v>8631</v>
      </c>
      <c r="K234" s="160">
        <v>8631</v>
      </c>
      <c r="L234" s="160">
        <f t="shared" si="6"/>
        <v>9713.2000000000007</v>
      </c>
      <c r="M234" s="160">
        <f t="shared" si="7"/>
        <v>12597</v>
      </c>
    </row>
    <row r="235" spans="1:13" x14ac:dyDescent="0.2">
      <c r="A235" s="160" t="s">
        <v>468</v>
      </c>
      <c r="B235" s="160">
        <v>12990</v>
      </c>
      <c r="C235" s="160">
        <v>12949</v>
      </c>
      <c r="D235" s="160">
        <v>22666</v>
      </c>
      <c r="E235" s="160">
        <v>18507</v>
      </c>
      <c r="F235" s="160">
        <v>15439</v>
      </c>
      <c r="G235" s="160">
        <v>15582</v>
      </c>
      <c r="H235" s="160">
        <v>23741</v>
      </c>
      <c r="I235" s="160">
        <v>15709</v>
      </c>
      <c r="J235" s="160">
        <v>12903</v>
      </c>
      <c r="K235" s="160">
        <v>12727</v>
      </c>
      <c r="L235" s="160">
        <f t="shared" si="6"/>
        <v>17547.8</v>
      </c>
      <c r="M235" s="160">
        <f t="shared" si="7"/>
        <v>15094.8</v>
      </c>
    </row>
    <row r="236" spans="1:13" x14ac:dyDescent="0.2">
      <c r="A236" s="160" t="s">
        <v>469</v>
      </c>
      <c r="B236" s="160">
        <v>3978</v>
      </c>
      <c r="C236" s="160">
        <v>2351</v>
      </c>
      <c r="D236" s="160">
        <v>2869</v>
      </c>
      <c r="E236" s="160">
        <v>2667</v>
      </c>
      <c r="F236" s="160">
        <v>5418</v>
      </c>
      <c r="G236" s="160">
        <v>4547</v>
      </c>
      <c r="H236" s="160">
        <v>5544</v>
      </c>
      <c r="I236" s="160">
        <v>6184</v>
      </c>
      <c r="J236" s="160">
        <v>1846</v>
      </c>
      <c r="K236" s="160">
        <v>1427</v>
      </c>
      <c r="L236" s="160">
        <f t="shared" si="6"/>
        <v>3931</v>
      </c>
      <c r="M236" s="160">
        <f t="shared" si="7"/>
        <v>3435.2</v>
      </c>
    </row>
    <row r="237" spans="1:13" x14ac:dyDescent="0.2">
      <c r="A237" s="160" t="s">
        <v>613</v>
      </c>
      <c r="B237" s="160">
        <v>28998</v>
      </c>
      <c r="C237" s="160">
        <v>29121</v>
      </c>
      <c r="D237" s="160">
        <v>10571</v>
      </c>
      <c r="E237" s="160">
        <v>26712</v>
      </c>
      <c r="F237" s="160">
        <v>21717</v>
      </c>
      <c r="G237" s="160">
        <v>27776</v>
      </c>
      <c r="H237" s="160">
        <v>9361</v>
      </c>
      <c r="I237" s="160">
        <v>10382</v>
      </c>
      <c r="J237" s="160">
        <v>10964</v>
      </c>
      <c r="K237" s="160">
        <v>11339</v>
      </c>
      <c r="L237" s="160">
        <f t="shared" si="6"/>
        <v>16322.2</v>
      </c>
      <c r="M237" s="160">
        <f t="shared" si="7"/>
        <v>21066</v>
      </c>
    </row>
    <row r="238" spans="1:13" x14ac:dyDescent="0.2">
      <c r="A238" s="160" t="s">
        <v>332</v>
      </c>
      <c r="B238" s="160">
        <v>5295</v>
      </c>
      <c r="C238" s="160">
        <v>4275</v>
      </c>
      <c r="D238" s="160">
        <v>271</v>
      </c>
      <c r="E238" s="160">
        <v>2231</v>
      </c>
      <c r="F238" s="160">
        <v>274</v>
      </c>
      <c r="G238" s="160">
        <v>1225</v>
      </c>
      <c r="H238" s="160">
        <v>3299</v>
      </c>
      <c r="I238" s="160">
        <v>4683</v>
      </c>
      <c r="J238" s="160">
        <v>27</v>
      </c>
      <c r="K238" s="160">
        <v>129</v>
      </c>
      <c r="L238" s="160">
        <f t="shared" si="6"/>
        <v>1833.2</v>
      </c>
      <c r="M238" s="160">
        <f t="shared" si="7"/>
        <v>2508.6</v>
      </c>
    </row>
    <row r="239" spans="1:13" x14ac:dyDescent="0.2">
      <c r="A239" s="160" t="s">
        <v>591</v>
      </c>
      <c r="B239" s="160">
        <v>557</v>
      </c>
      <c r="C239" s="160">
        <v>557</v>
      </c>
      <c r="D239" s="160">
        <v>212</v>
      </c>
      <c r="E239" s="160">
        <v>0</v>
      </c>
      <c r="F239" s="160">
        <v>2456</v>
      </c>
      <c r="G239" s="160">
        <v>4629</v>
      </c>
      <c r="H239" s="160">
        <v>781</v>
      </c>
      <c r="I239" s="160">
        <v>980</v>
      </c>
      <c r="J239" s="160">
        <v>2153</v>
      </c>
      <c r="K239" s="160">
        <v>2153</v>
      </c>
      <c r="L239" s="160">
        <f t="shared" si="6"/>
        <v>1231.8</v>
      </c>
      <c r="M239" s="160">
        <f t="shared" si="7"/>
        <v>1663.8</v>
      </c>
    </row>
    <row r="240" spans="1:13" x14ac:dyDescent="0.2">
      <c r="A240" s="160" t="s">
        <v>470</v>
      </c>
      <c r="B240" s="160">
        <v>22687</v>
      </c>
      <c r="C240" s="160">
        <v>32545</v>
      </c>
      <c r="D240" s="160">
        <v>10086</v>
      </c>
      <c r="E240" s="160">
        <v>13603</v>
      </c>
      <c r="F240" s="160">
        <v>13149</v>
      </c>
      <c r="G240" s="160">
        <v>17075</v>
      </c>
      <c r="H240" s="160">
        <v>11281</v>
      </c>
      <c r="I240" s="160">
        <v>9818</v>
      </c>
      <c r="J240" s="160">
        <v>20315</v>
      </c>
      <c r="K240" s="160">
        <v>17255</v>
      </c>
      <c r="L240" s="160">
        <f t="shared" si="6"/>
        <v>15503.6</v>
      </c>
      <c r="M240" s="160">
        <f t="shared" si="7"/>
        <v>18059.2</v>
      </c>
    </row>
    <row r="241" spans="1:13" x14ac:dyDescent="0.2">
      <c r="A241" s="160" t="s">
        <v>548</v>
      </c>
      <c r="B241" s="160">
        <v>11165</v>
      </c>
      <c r="C241" s="160">
        <v>12274</v>
      </c>
      <c r="D241" s="160">
        <v>9501</v>
      </c>
      <c r="E241" s="160">
        <v>14794</v>
      </c>
      <c r="F241" s="160">
        <v>11071</v>
      </c>
      <c r="G241" s="160">
        <v>13040</v>
      </c>
      <c r="H241" s="160">
        <v>4848</v>
      </c>
      <c r="I241" s="160">
        <v>4726</v>
      </c>
      <c r="J241" s="160">
        <v>7259</v>
      </c>
      <c r="K241" s="160">
        <v>6929</v>
      </c>
      <c r="L241" s="160">
        <f t="shared" si="6"/>
        <v>8768.7999999999993</v>
      </c>
      <c r="M241" s="160">
        <f t="shared" si="7"/>
        <v>10352.6</v>
      </c>
    </row>
    <row r="242" spans="1:13" x14ac:dyDescent="0.2">
      <c r="A242" s="160" t="s">
        <v>549</v>
      </c>
      <c r="B242" s="160">
        <v>4758</v>
      </c>
      <c r="C242" s="160">
        <v>3538</v>
      </c>
      <c r="D242" s="160">
        <v>3138</v>
      </c>
      <c r="E242" s="160">
        <v>3882</v>
      </c>
      <c r="F242" s="160">
        <v>3091</v>
      </c>
      <c r="G242" s="160">
        <v>2672</v>
      </c>
      <c r="H242" s="160">
        <v>7210</v>
      </c>
      <c r="I242" s="160">
        <v>6644</v>
      </c>
      <c r="J242" s="160">
        <v>4110</v>
      </c>
      <c r="K242" s="160">
        <v>4190</v>
      </c>
      <c r="L242" s="160">
        <f t="shared" si="6"/>
        <v>4461.3999999999996</v>
      </c>
      <c r="M242" s="160">
        <f t="shared" si="7"/>
        <v>4185.2</v>
      </c>
    </row>
    <row r="243" spans="1:13" x14ac:dyDescent="0.2">
      <c r="A243" s="160" t="s">
        <v>243</v>
      </c>
      <c r="B243" s="160">
        <v>5208</v>
      </c>
      <c r="C243" s="160">
        <v>10163</v>
      </c>
      <c r="D243" s="160">
        <v>3191</v>
      </c>
      <c r="E243" s="160">
        <v>3362</v>
      </c>
      <c r="F243" s="160">
        <v>4972</v>
      </c>
      <c r="G243" s="160">
        <v>6403</v>
      </c>
      <c r="H243" s="160">
        <v>3303</v>
      </c>
      <c r="I243" s="160">
        <v>3566</v>
      </c>
      <c r="J243" s="160">
        <v>335</v>
      </c>
      <c r="K243" s="160">
        <v>680</v>
      </c>
      <c r="L243" s="160">
        <f t="shared" si="6"/>
        <v>3401.8</v>
      </c>
      <c r="M243" s="160">
        <f t="shared" si="7"/>
        <v>4834.8</v>
      </c>
    </row>
    <row r="244" spans="1:13" x14ac:dyDescent="0.2">
      <c r="A244" s="160" t="s">
        <v>333</v>
      </c>
      <c r="B244" s="160">
        <v>8146</v>
      </c>
      <c r="C244" s="160">
        <v>6409</v>
      </c>
      <c r="D244" s="160">
        <v>3817</v>
      </c>
      <c r="E244" s="160">
        <v>6373</v>
      </c>
      <c r="F244" s="160">
        <v>6070</v>
      </c>
      <c r="G244" s="160">
        <v>7101</v>
      </c>
      <c r="H244" s="160">
        <v>2927</v>
      </c>
      <c r="I244" s="160">
        <v>3194</v>
      </c>
      <c r="J244" s="160">
        <v>3368</v>
      </c>
      <c r="K244" s="160">
        <v>3348</v>
      </c>
      <c r="L244" s="160">
        <f t="shared" si="6"/>
        <v>4865.6000000000004</v>
      </c>
      <c r="M244" s="160">
        <f t="shared" si="7"/>
        <v>5285</v>
      </c>
    </row>
    <row r="245" spans="1:13" x14ac:dyDescent="0.2">
      <c r="A245" s="160" t="s">
        <v>286</v>
      </c>
      <c r="B245" s="160">
        <v>5602</v>
      </c>
      <c r="C245" s="160">
        <v>5793</v>
      </c>
      <c r="D245" s="160">
        <v>14602</v>
      </c>
      <c r="E245" s="160">
        <v>12327</v>
      </c>
      <c r="F245" s="160">
        <v>10466</v>
      </c>
      <c r="G245" s="160">
        <v>11385</v>
      </c>
      <c r="H245" s="160">
        <v>9491</v>
      </c>
      <c r="I245" s="160">
        <v>14011</v>
      </c>
      <c r="J245" s="160">
        <v>1750</v>
      </c>
      <c r="K245" s="160">
        <v>1750</v>
      </c>
      <c r="L245" s="160">
        <f t="shared" si="6"/>
        <v>8382.2000000000007</v>
      </c>
      <c r="M245" s="160">
        <f t="shared" si="7"/>
        <v>9053.2000000000007</v>
      </c>
    </row>
    <row r="246" spans="1:13" x14ac:dyDescent="0.2">
      <c r="A246" s="160" t="s">
        <v>287</v>
      </c>
      <c r="B246" s="160">
        <v>6951</v>
      </c>
      <c r="C246" s="160">
        <v>10527</v>
      </c>
      <c r="D246" s="160">
        <v>4005</v>
      </c>
      <c r="E246" s="160">
        <v>6217</v>
      </c>
      <c r="F246" s="160">
        <v>4899</v>
      </c>
      <c r="G246" s="160">
        <v>4288</v>
      </c>
      <c r="H246" s="160">
        <v>1845</v>
      </c>
      <c r="I246" s="160">
        <v>2347</v>
      </c>
      <c r="J246" s="160">
        <v>3574</v>
      </c>
      <c r="K246" s="160">
        <v>3525</v>
      </c>
      <c r="L246" s="160">
        <f t="shared" si="6"/>
        <v>4254.8</v>
      </c>
      <c r="M246" s="160">
        <f t="shared" si="7"/>
        <v>5380.8</v>
      </c>
    </row>
    <row r="247" spans="1:13" x14ac:dyDescent="0.2">
      <c r="A247" s="160" t="s">
        <v>288</v>
      </c>
      <c r="B247" s="160">
        <v>5247</v>
      </c>
      <c r="C247" s="160">
        <v>4716</v>
      </c>
      <c r="D247" s="160">
        <v>12629</v>
      </c>
      <c r="E247" s="160">
        <v>17497</v>
      </c>
      <c r="F247" s="160">
        <v>5084</v>
      </c>
      <c r="G247" s="160">
        <v>7514</v>
      </c>
      <c r="H247" s="160">
        <v>9557</v>
      </c>
      <c r="I247" s="160">
        <v>10895</v>
      </c>
      <c r="J247" s="160">
        <v>3360</v>
      </c>
      <c r="K247" s="160">
        <v>3405</v>
      </c>
      <c r="L247" s="160">
        <f t="shared" si="6"/>
        <v>7175.4</v>
      </c>
      <c r="M247" s="160">
        <f t="shared" si="7"/>
        <v>8805.4</v>
      </c>
    </row>
    <row r="248" spans="1:13" x14ac:dyDescent="0.2">
      <c r="A248" s="160" t="s">
        <v>592</v>
      </c>
      <c r="B248" s="160">
        <v>36</v>
      </c>
      <c r="C248" s="160">
        <v>12</v>
      </c>
      <c r="D248" s="160">
        <v>5</v>
      </c>
      <c r="E248" s="160">
        <v>5</v>
      </c>
      <c r="F248" s="160">
        <v>13</v>
      </c>
      <c r="G248" s="160">
        <v>49</v>
      </c>
      <c r="H248" s="160">
        <v>9</v>
      </c>
      <c r="I248" s="160">
        <v>9</v>
      </c>
      <c r="J248" s="160">
        <v>5</v>
      </c>
      <c r="K248" s="160">
        <v>7</v>
      </c>
      <c r="L248" s="160">
        <f t="shared" si="6"/>
        <v>13.6</v>
      </c>
      <c r="M248" s="160">
        <f t="shared" si="7"/>
        <v>16.399999999999999</v>
      </c>
    </row>
    <row r="249" spans="1:13" x14ac:dyDescent="0.2">
      <c r="A249" s="160" t="s">
        <v>334</v>
      </c>
      <c r="B249" s="160">
        <v>21853</v>
      </c>
      <c r="C249" s="160">
        <v>21992</v>
      </c>
      <c r="D249" s="160">
        <v>3933</v>
      </c>
      <c r="E249" s="160">
        <v>5003</v>
      </c>
      <c r="F249" s="160">
        <v>5989</v>
      </c>
      <c r="G249" s="160">
        <v>5493</v>
      </c>
      <c r="H249" s="160">
        <v>3154</v>
      </c>
      <c r="I249" s="160">
        <v>3484</v>
      </c>
      <c r="J249" s="160">
        <v>662</v>
      </c>
      <c r="K249" s="160">
        <v>725</v>
      </c>
      <c r="L249" s="160">
        <f t="shared" si="6"/>
        <v>7118.2</v>
      </c>
      <c r="M249" s="160">
        <f t="shared" si="7"/>
        <v>7339.4</v>
      </c>
    </row>
    <row r="250" spans="1:13" x14ac:dyDescent="0.2">
      <c r="A250" s="160" t="s">
        <v>550</v>
      </c>
      <c r="B250" s="160">
        <v>11975</v>
      </c>
      <c r="C250" s="160">
        <v>10546</v>
      </c>
      <c r="D250" s="160">
        <v>21093</v>
      </c>
      <c r="E250" s="160">
        <v>21890</v>
      </c>
      <c r="F250" s="160">
        <v>10123</v>
      </c>
      <c r="G250" s="160">
        <v>12038</v>
      </c>
      <c r="H250" s="160">
        <v>23233</v>
      </c>
      <c r="I250" s="160">
        <v>24255</v>
      </c>
      <c r="J250" s="160">
        <v>14222</v>
      </c>
      <c r="K250" s="160">
        <v>14247</v>
      </c>
      <c r="L250" s="160">
        <f t="shared" si="6"/>
        <v>16129.2</v>
      </c>
      <c r="M250" s="160">
        <f t="shared" si="7"/>
        <v>16595.2</v>
      </c>
    </row>
    <row r="251" spans="1:13" x14ac:dyDescent="0.2">
      <c r="A251" s="160" t="s">
        <v>266</v>
      </c>
      <c r="B251" s="160">
        <v>706</v>
      </c>
      <c r="C251" s="160">
        <v>1155</v>
      </c>
      <c r="D251" s="160">
        <v>2254</v>
      </c>
      <c r="E251" s="160">
        <v>2403</v>
      </c>
      <c r="F251" s="160">
        <v>3766</v>
      </c>
      <c r="G251" s="160">
        <v>4916</v>
      </c>
      <c r="H251" s="160">
        <v>1405</v>
      </c>
      <c r="I251" s="160">
        <v>2555</v>
      </c>
      <c r="J251" s="160">
        <v>1746</v>
      </c>
      <c r="K251" s="160">
        <v>1162</v>
      </c>
      <c r="L251" s="160">
        <f t="shared" si="6"/>
        <v>1975.4</v>
      </c>
      <c r="M251" s="160">
        <f t="shared" si="7"/>
        <v>2438.1999999999998</v>
      </c>
    </row>
    <row r="252" spans="1:13" x14ac:dyDescent="0.2">
      <c r="A252" s="160" t="s">
        <v>414</v>
      </c>
      <c r="B252" s="160">
        <v>9028</v>
      </c>
      <c r="C252" s="160">
        <v>8391</v>
      </c>
      <c r="D252" s="160">
        <v>7791</v>
      </c>
      <c r="E252" s="160">
        <v>6936</v>
      </c>
      <c r="F252" s="160">
        <v>7320</v>
      </c>
      <c r="G252" s="160">
        <v>5058</v>
      </c>
      <c r="H252" s="160">
        <v>6476</v>
      </c>
      <c r="I252" s="160">
        <v>5038</v>
      </c>
      <c r="J252" s="160">
        <v>0</v>
      </c>
      <c r="K252" s="160">
        <v>87</v>
      </c>
      <c r="L252" s="160">
        <f t="shared" si="6"/>
        <v>6123</v>
      </c>
      <c r="M252" s="160">
        <f t="shared" si="7"/>
        <v>5102</v>
      </c>
    </row>
    <row r="253" spans="1:13" x14ac:dyDescent="0.2">
      <c r="A253" s="160" t="s">
        <v>415</v>
      </c>
      <c r="B253" s="160">
        <v>806</v>
      </c>
      <c r="C253" s="160">
        <v>750</v>
      </c>
      <c r="D253" s="160">
        <v>457</v>
      </c>
      <c r="E253" s="160">
        <v>752</v>
      </c>
      <c r="F253" s="160">
        <v>6193</v>
      </c>
      <c r="G253" s="160">
        <v>6425</v>
      </c>
      <c r="H253" s="160">
        <v>3006</v>
      </c>
      <c r="I253" s="160">
        <v>2859</v>
      </c>
      <c r="J253" s="160">
        <v>1050</v>
      </c>
      <c r="K253" s="160">
        <v>1435</v>
      </c>
      <c r="L253" s="160">
        <f t="shared" si="6"/>
        <v>2302.4</v>
      </c>
      <c r="M253" s="160">
        <f t="shared" si="7"/>
        <v>2444.1999999999998</v>
      </c>
    </row>
    <row r="254" spans="1:13" x14ac:dyDescent="0.2">
      <c r="A254" s="160" t="s">
        <v>267</v>
      </c>
      <c r="B254" s="160">
        <v>5055</v>
      </c>
      <c r="C254" s="160">
        <v>4426</v>
      </c>
      <c r="D254" s="160">
        <v>3426</v>
      </c>
      <c r="E254" s="160">
        <v>2754</v>
      </c>
      <c r="F254" s="160">
        <v>2879</v>
      </c>
      <c r="G254" s="160">
        <v>5542</v>
      </c>
      <c r="H254" s="160">
        <v>2318</v>
      </c>
      <c r="I254" s="160">
        <v>1785</v>
      </c>
      <c r="J254" s="160">
        <v>3272</v>
      </c>
      <c r="K254" s="160">
        <v>3256</v>
      </c>
      <c r="L254" s="160">
        <f t="shared" si="6"/>
        <v>3390</v>
      </c>
      <c r="M254" s="160">
        <f t="shared" si="7"/>
        <v>3552.6</v>
      </c>
    </row>
    <row r="255" spans="1:13" x14ac:dyDescent="0.2">
      <c r="A255" s="160" t="s">
        <v>551</v>
      </c>
      <c r="B255" s="160">
        <v>37711.571074087202</v>
      </c>
      <c r="C255" s="160">
        <v>41133.414037575327</v>
      </c>
      <c r="D255" s="160">
        <v>45102.608294930877</v>
      </c>
      <c r="E255" s="160">
        <v>53987.94718185041</v>
      </c>
      <c r="F255" s="160">
        <v>48782.825239276848</v>
      </c>
      <c r="G255" s="160">
        <v>50611.221907125131</v>
      </c>
      <c r="H255" s="160">
        <v>27031.292095001772</v>
      </c>
      <c r="I255" s="160">
        <v>27827.138957816376</v>
      </c>
      <c r="J255" s="160">
        <v>23674.962779156325</v>
      </c>
      <c r="K255" s="160">
        <v>23553.696915987239</v>
      </c>
      <c r="L255" s="160">
        <v>36460.651896490606</v>
      </c>
      <c r="M255" s="160">
        <v>39422.683800070896</v>
      </c>
    </row>
    <row r="256" spans="1:13" x14ac:dyDescent="0.2">
      <c r="A256" s="160" t="s">
        <v>471</v>
      </c>
      <c r="B256" s="160">
        <v>2184</v>
      </c>
      <c r="C256" s="160">
        <v>3876</v>
      </c>
      <c r="D256" s="160">
        <v>9047</v>
      </c>
      <c r="E256" s="160">
        <v>10002</v>
      </c>
      <c r="F256" s="160">
        <v>4725</v>
      </c>
      <c r="G256" s="160">
        <v>5055</v>
      </c>
      <c r="H256" s="160">
        <v>7081</v>
      </c>
      <c r="I256" s="160">
        <v>7474</v>
      </c>
      <c r="J256" s="160">
        <v>4095</v>
      </c>
      <c r="K256" s="160">
        <v>3742</v>
      </c>
      <c r="L256" s="160">
        <f t="shared" ref="L256:L314" si="8">SUM(B256,D256,F256,H256,J256)/5</f>
        <v>5426.4</v>
      </c>
      <c r="M256" s="160">
        <f t="shared" ref="M256:M314" si="9">SUM(C256,E256,G256,I256,K256)/5</f>
        <v>6029.8</v>
      </c>
    </row>
    <row r="257" spans="1:13" x14ac:dyDescent="0.2">
      <c r="A257" s="160" t="s">
        <v>335</v>
      </c>
      <c r="B257" s="160">
        <v>15049</v>
      </c>
      <c r="C257" s="160">
        <v>28582</v>
      </c>
      <c r="D257" s="160">
        <v>9596</v>
      </c>
      <c r="E257" s="160">
        <v>12733</v>
      </c>
      <c r="F257" s="160">
        <v>31440</v>
      </c>
      <c r="G257" s="160">
        <v>33529</v>
      </c>
      <c r="H257" s="160">
        <v>8660</v>
      </c>
      <c r="I257" s="160">
        <v>9749</v>
      </c>
      <c r="J257" s="160">
        <v>7273</v>
      </c>
      <c r="K257" s="160">
        <v>7274</v>
      </c>
      <c r="L257" s="160">
        <f t="shared" si="8"/>
        <v>14403.6</v>
      </c>
      <c r="M257" s="160">
        <f t="shared" si="9"/>
        <v>18373.400000000001</v>
      </c>
    </row>
    <row r="258" spans="1:13" x14ac:dyDescent="0.2">
      <c r="A258" s="160" t="s">
        <v>416</v>
      </c>
      <c r="B258" s="160">
        <v>24</v>
      </c>
      <c r="C258" s="160">
        <v>0</v>
      </c>
      <c r="D258" s="160">
        <v>2703</v>
      </c>
      <c r="E258" s="160">
        <v>2703</v>
      </c>
      <c r="F258" s="160">
        <v>0</v>
      </c>
      <c r="G258" s="160">
        <v>0</v>
      </c>
      <c r="H258" s="160">
        <v>1</v>
      </c>
      <c r="I258" s="160">
        <v>3</v>
      </c>
      <c r="J258" s="160">
        <v>0</v>
      </c>
      <c r="K258" s="160">
        <v>0</v>
      </c>
      <c r="L258" s="160">
        <f t="shared" si="8"/>
        <v>545.6</v>
      </c>
      <c r="M258" s="160">
        <f t="shared" si="9"/>
        <v>541.20000000000005</v>
      </c>
    </row>
    <row r="259" spans="1:13" x14ac:dyDescent="0.2">
      <c r="A259" s="160" t="s">
        <v>367</v>
      </c>
      <c r="B259" s="160">
        <v>601</v>
      </c>
      <c r="C259" s="160">
        <v>911</v>
      </c>
      <c r="D259" s="160">
        <v>700</v>
      </c>
      <c r="E259" s="160">
        <v>851</v>
      </c>
      <c r="F259" s="160">
        <v>1345</v>
      </c>
      <c r="G259" s="160">
        <v>762</v>
      </c>
      <c r="H259" s="160">
        <v>1027</v>
      </c>
      <c r="I259" s="160">
        <v>437</v>
      </c>
      <c r="J259" s="160">
        <v>650</v>
      </c>
      <c r="K259" s="160">
        <v>650</v>
      </c>
      <c r="L259" s="160">
        <f t="shared" si="8"/>
        <v>864.6</v>
      </c>
      <c r="M259" s="160">
        <f t="shared" si="9"/>
        <v>722.2</v>
      </c>
    </row>
    <row r="260" spans="1:13" x14ac:dyDescent="0.2">
      <c r="A260" s="160" t="s">
        <v>336</v>
      </c>
      <c r="B260" s="160">
        <v>5260</v>
      </c>
      <c r="C260" s="160">
        <v>8075</v>
      </c>
      <c r="D260" s="160">
        <v>2450</v>
      </c>
      <c r="E260" s="160">
        <v>10309</v>
      </c>
      <c r="F260" s="160">
        <v>11908</v>
      </c>
      <c r="G260" s="160">
        <v>17022</v>
      </c>
      <c r="H260" s="160">
        <v>22919</v>
      </c>
      <c r="I260" s="160">
        <v>26042</v>
      </c>
      <c r="J260" s="160">
        <v>1427</v>
      </c>
      <c r="K260" s="160">
        <v>1867</v>
      </c>
      <c r="L260" s="160">
        <f t="shared" si="8"/>
        <v>8792.7999999999993</v>
      </c>
      <c r="M260" s="160">
        <f t="shared" si="9"/>
        <v>12663</v>
      </c>
    </row>
    <row r="261" spans="1:13" x14ac:dyDescent="0.2">
      <c r="A261" s="160" t="s">
        <v>473</v>
      </c>
      <c r="B261" s="160">
        <v>21646</v>
      </c>
      <c r="C261" s="160">
        <v>21600</v>
      </c>
      <c r="D261" s="160">
        <v>20010</v>
      </c>
      <c r="E261" s="160">
        <v>20978</v>
      </c>
      <c r="F261" s="160">
        <v>16801</v>
      </c>
      <c r="G261" s="160">
        <v>17915</v>
      </c>
      <c r="H261" s="160">
        <v>8527</v>
      </c>
      <c r="I261" s="160">
        <v>12824</v>
      </c>
      <c r="J261" s="160">
        <v>6979</v>
      </c>
      <c r="K261" s="160">
        <v>7902</v>
      </c>
      <c r="L261" s="160">
        <f t="shared" si="8"/>
        <v>14792.6</v>
      </c>
      <c r="M261" s="160">
        <f t="shared" si="9"/>
        <v>16243.8</v>
      </c>
    </row>
    <row r="262" spans="1:13" x14ac:dyDescent="0.2">
      <c r="A262" s="160" t="s">
        <v>593</v>
      </c>
      <c r="B262" s="160">
        <v>18145</v>
      </c>
      <c r="C262" s="160">
        <v>17525</v>
      </c>
      <c r="D262" s="160">
        <v>8797</v>
      </c>
      <c r="E262" s="160">
        <v>7863</v>
      </c>
      <c r="F262" s="160">
        <v>13326</v>
      </c>
      <c r="G262" s="160">
        <v>14624</v>
      </c>
      <c r="H262" s="160">
        <v>14267</v>
      </c>
      <c r="I262" s="160">
        <v>15290</v>
      </c>
      <c r="J262" s="160">
        <v>164</v>
      </c>
      <c r="K262" s="160">
        <v>767</v>
      </c>
      <c r="L262" s="160">
        <f t="shared" si="8"/>
        <v>10939.8</v>
      </c>
      <c r="M262" s="160">
        <f t="shared" si="9"/>
        <v>11213.8</v>
      </c>
    </row>
    <row r="263" spans="1:13" x14ac:dyDescent="0.2">
      <c r="A263" s="160" t="s">
        <v>244</v>
      </c>
      <c r="B263" s="160">
        <v>402</v>
      </c>
      <c r="C263" s="160">
        <v>441</v>
      </c>
      <c r="D263" s="160">
        <v>11</v>
      </c>
      <c r="E263" s="160">
        <v>47</v>
      </c>
      <c r="F263" s="160">
        <v>11</v>
      </c>
      <c r="G263" s="160">
        <v>112</v>
      </c>
      <c r="H263" s="160">
        <v>7</v>
      </c>
      <c r="I263" s="160">
        <v>438</v>
      </c>
      <c r="J263" s="160">
        <v>0</v>
      </c>
      <c r="K263" s="160">
        <v>38</v>
      </c>
      <c r="L263" s="160">
        <f t="shared" si="8"/>
        <v>86.2</v>
      </c>
      <c r="M263" s="160">
        <f t="shared" si="9"/>
        <v>215.2</v>
      </c>
    </row>
    <row r="264" spans="1:13" x14ac:dyDescent="0.2">
      <c r="A264" s="160" t="s">
        <v>474</v>
      </c>
      <c r="B264" s="160">
        <v>40732</v>
      </c>
      <c r="C264" s="160">
        <v>30736</v>
      </c>
      <c r="D264" s="160">
        <v>76591</v>
      </c>
      <c r="E264" s="160">
        <v>82598</v>
      </c>
      <c r="F264" s="160">
        <v>21584</v>
      </c>
      <c r="G264" s="160">
        <v>24110</v>
      </c>
      <c r="H264" s="160">
        <v>30020</v>
      </c>
      <c r="I264" s="160">
        <v>41192</v>
      </c>
      <c r="J264" s="160">
        <v>22558</v>
      </c>
      <c r="K264" s="160">
        <v>23452</v>
      </c>
      <c r="L264" s="160">
        <f t="shared" si="8"/>
        <v>38297</v>
      </c>
      <c r="M264" s="160">
        <f t="shared" si="9"/>
        <v>40417.599999999999</v>
      </c>
    </row>
    <row r="265" spans="1:13" x14ac:dyDescent="0.2">
      <c r="A265" s="160" t="s">
        <v>417</v>
      </c>
      <c r="B265" s="160">
        <v>19320</v>
      </c>
      <c r="C265" s="160">
        <v>10187</v>
      </c>
      <c r="D265" s="160">
        <v>6497</v>
      </c>
      <c r="E265" s="160">
        <v>1585</v>
      </c>
      <c r="F265" s="160">
        <v>6421</v>
      </c>
      <c r="G265" s="160">
        <v>5384</v>
      </c>
      <c r="H265" s="160">
        <v>16124</v>
      </c>
      <c r="I265" s="160">
        <v>16365</v>
      </c>
      <c r="J265" s="160">
        <v>18701</v>
      </c>
      <c r="K265" s="160">
        <v>17406</v>
      </c>
      <c r="L265" s="160">
        <f t="shared" si="8"/>
        <v>13412.6</v>
      </c>
      <c r="M265" s="160">
        <f t="shared" si="9"/>
        <v>10185.4</v>
      </c>
    </row>
    <row r="266" spans="1:13" x14ac:dyDescent="0.2">
      <c r="A266" s="160" t="s">
        <v>337</v>
      </c>
      <c r="B266" s="160">
        <v>5794</v>
      </c>
      <c r="C266" s="160">
        <v>5793</v>
      </c>
      <c r="D266" s="160">
        <v>4943</v>
      </c>
      <c r="E266" s="160">
        <v>4943</v>
      </c>
      <c r="F266" s="160">
        <v>2142</v>
      </c>
      <c r="G266" s="160">
        <v>2141</v>
      </c>
      <c r="H266" s="160">
        <v>1963</v>
      </c>
      <c r="I266" s="160">
        <v>964</v>
      </c>
      <c r="J266" s="160">
        <v>2455</v>
      </c>
      <c r="K266" s="160">
        <v>2455</v>
      </c>
      <c r="L266" s="160">
        <f t="shared" si="8"/>
        <v>3459.4</v>
      </c>
      <c r="M266" s="160">
        <f t="shared" si="9"/>
        <v>3259.2</v>
      </c>
    </row>
    <row r="267" spans="1:13" x14ac:dyDescent="0.2">
      <c r="A267" s="160" t="s">
        <v>289</v>
      </c>
      <c r="B267" s="160">
        <v>3936</v>
      </c>
      <c r="C267" s="160">
        <v>4879</v>
      </c>
      <c r="D267" s="160">
        <v>4105</v>
      </c>
      <c r="E267" s="160">
        <v>10015</v>
      </c>
      <c r="F267" s="160">
        <v>5961</v>
      </c>
      <c r="G267" s="160">
        <v>6972</v>
      </c>
      <c r="H267" s="160">
        <v>4901</v>
      </c>
      <c r="I267" s="160">
        <v>3060</v>
      </c>
      <c r="J267" s="160">
        <v>2927</v>
      </c>
      <c r="K267" s="160">
        <v>3070</v>
      </c>
      <c r="L267" s="160">
        <f t="shared" si="8"/>
        <v>4366</v>
      </c>
      <c r="M267" s="160">
        <f t="shared" si="9"/>
        <v>5599.2</v>
      </c>
    </row>
    <row r="268" spans="1:13" x14ac:dyDescent="0.2">
      <c r="A268" s="160" t="s">
        <v>502</v>
      </c>
      <c r="B268" s="160">
        <v>15992</v>
      </c>
      <c r="C268" s="160">
        <v>15177</v>
      </c>
      <c r="D268" s="160">
        <v>5009</v>
      </c>
      <c r="E268" s="160">
        <v>4851</v>
      </c>
      <c r="F268" s="160">
        <v>5019</v>
      </c>
      <c r="G268" s="160">
        <v>2821</v>
      </c>
      <c r="H268" s="160">
        <v>5358</v>
      </c>
      <c r="I268" s="160">
        <v>3362</v>
      </c>
      <c r="J268" s="160">
        <v>11496</v>
      </c>
      <c r="K268" s="160">
        <v>7836</v>
      </c>
      <c r="L268" s="160">
        <f t="shared" si="8"/>
        <v>8574.7999999999993</v>
      </c>
      <c r="M268" s="160">
        <f t="shared" si="9"/>
        <v>6809.4</v>
      </c>
    </row>
    <row r="269" spans="1:13" x14ac:dyDescent="0.2">
      <c r="A269" s="160" t="s">
        <v>338</v>
      </c>
      <c r="B269" s="160">
        <v>1937</v>
      </c>
      <c r="C269" s="160">
        <v>2372</v>
      </c>
      <c r="D269" s="160">
        <v>3273</v>
      </c>
      <c r="E269" s="160">
        <v>3550</v>
      </c>
      <c r="F269" s="160">
        <v>1373</v>
      </c>
      <c r="G269" s="160">
        <v>2332</v>
      </c>
      <c r="H269" s="160">
        <v>590</v>
      </c>
      <c r="I269" s="160">
        <v>912</v>
      </c>
      <c r="J269" s="160">
        <v>6765</v>
      </c>
      <c r="K269" s="160">
        <v>6849</v>
      </c>
      <c r="L269" s="160">
        <f t="shared" si="8"/>
        <v>2787.6</v>
      </c>
      <c r="M269" s="160">
        <f t="shared" si="9"/>
        <v>3203</v>
      </c>
    </row>
    <row r="270" spans="1:13" x14ac:dyDescent="0.2">
      <c r="A270" s="160" t="s">
        <v>368</v>
      </c>
      <c r="B270" s="160">
        <v>7823</v>
      </c>
      <c r="C270" s="160">
        <v>7973</v>
      </c>
      <c r="D270" s="160">
        <v>7916</v>
      </c>
      <c r="E270" s="160">
        <v>6926</v>
      </c>
      <c r="F270" s="160">
        <v>4407</v>
      </c>
      <c r="G270" s="160">
        <v>4412</v>
      </c>
      <c r="H270" s="160">
        <v>1457</v>
      </c>
      <c r="I270" s="160">
        <v>1408</v>
      </c>
      <c r="J270" s="160">
        <v>1170</v>
      </c>
      <c r="K270" s="160">
        <v>1141</v>
      </c>
      <c r="L270" s="160">
        <f t="shared" si="8"/>
        <v>4554.6000000000004</v>
      </c>
      <c r="M270" s="160">
        <f t="shared" si="9"/>
        <v>4372</v>
      </c>
    </row>
    <row r="271" spans="1:13" x14ac:dyDescent="0.2">
      <c r="A271" s="160" t="s">
        <v>552</v>
      </c>
      <c r="B271" s="160">
        <v>7948</v>
      </c>
      <c r="C271" s="160">
        <v>8032</v>
      </c>
      <c r="D271" s="160">
        <v>5218</v>
      </c>
      <c r="E271" s="160">
        <v>16254</v>
      </c>
      <c r="F271" s="160">
        <v>7158</v>
      </c>
      <c r="G271" s="160">
        <v>6797</v>
      </c>
      <c r="H271" s="160">
        <v>3834</v>
      </c>
      <c r="I271" s="160">
        <v>3921</v>
      </c>
      <c r="J271" s="160">
        <v>6714</v>
      </c>
      <c r="K271" s="160">
        <v>6715</v>
      </c>
      <c r="L271" s="160">
        <f t="shared" si="8"/>
        <v>6174.4</v>
      </c>
      <c r="M271" s="160">
        <f t="shared" si="9"/>
        <v>8343.7999999999993</v>
      </c>
    </row>
    <row r="272" spans="1:13" x14ac:dyDescent="0.2">
      <c r="A272" s="160" t="s">
        <v>339</v>
      </c>
      <c r="B272" s="160">
        <v>2150</v>
      </c>
      <c r="C272" s="160">
        <v>2462</v>
      </c>
      <c r="D272" s="160">
        <v>4560</v>
      </c>
      <c r="E272" s="160">
        <v>4219</v>
      </c>
      <c r="F272" s="160">
        <v>1840</v>
      </c>
      <c r="G272" s="160">
        <v>1958</v>
      </c>
      <c r="H272" s="160">
        <v>1008</v>
      </c>
      <c r="I272" s="160">
        <v>3370</v>
      </c>
      <c r="J272" s="160">
        <v>186</v>
      </c>
      <c r="K272" s="160">
        <v>185</v>
      </c>
      <c r="L272" s="160">
        <f t="shared" si="8"/>
        <v>1948.8</v>
      </c>
      <c r="M272" s="160">
        <f t="shared" si="9"/>
        <v>2438.8000000000002</v>
      </c>
    </row>
    <row r="273" spans="1:13" x14ac:dyDescent="0.2">
      <c r="A273" s="160" t="s">
        <v>369</v>
      </c>
      <c r="B273" s="160">
        <v>3589</v>
      </c>
      <c r="C273" s="160">
        <v>3727</v>
      </c>
      <c r="D273" s="160">
        <v>3089</v>
      </c>
      <c r="E273" s="160">
        <v>3153</v>
      </c>
      <c r="F273" s="160">
        <v>5737</v>
      </c>
      <c r="G273" s="160">
        <v>2850</v>
      </c>
      <c r="H273" s="160">
        <v>2429</v>
      </c>
      <c r="I273" s="160">
        <v>2073</v>
      </c>
      <c r="J273" s="160">
        <v>306</v>
      </c>
      <c r="K273" s="160">
        <v>400</v>
      </c>
      <c r="L273" s="160">
        <f t="shared" si="8"/>
        <v>3030</v>
      </c>
      <c r="M273" s="160">
        <f t="shared" si="9"/>
        <v>2440.6</v>
      </c>
    </row>
    <row r="274" spans="1:13" x14ac:dyDescent="0.2">
      <c r="A274" s="160" t="s">
        <v>475</v>
      </c>
      <c r="B274" s="160">
        <v>16601</v>
      </c>
      <c r="C274" s="160">
        <v>16900</v>
      </c>
      <c r="D274" s="160">
        <v>7928</v>
      </c>
      <c r="E274" s="160">
        <v>6043</v>
      </c>
      <c r="F274" s="160">
        <v>6688</v>
      </c>
      <c r="G274" s="160">
        <v>7581</v>
      </c>
      <c r="H274" s="160">
        <v>4914</v>
      </c>
      <c r="I274" s="160">
        <v>4932</v>
      </c>
      <c r="J274" s="160">
        <v>14941</v>
      </c>
      <c r="K274" s="160">
        <v>16082</v>
      </c>
      <c r="L274" s="160">
        <f t="shared" si="8"/>
        <v>10214.4</v>
      </c>
      <c r="M274" s="160">
        <f t="shared" si="9"/>
        <v>10307.6</v>
      </c>
    </row>
    <row r="275" spans="1:13" x14ac:dyDescent="0.2">
      <c r="A275" s="160" t="s">
        <v>340</v>
      </c>
      <c r="B275" s="160">
        <v>954</v>
      </c>
      <c r="C275" s="160">
        <v>984</v>
      </c>
      <c r="D275" s="160">
        <v>983</v>
      </c>
      <c r="E275" s="160">
        <v>1217</v>
      </c>
      <c r="F275" s="160">
        <v>348</v>
      </c>
      <c r="G275" s="160">
        <v>744</v>
      </c>
      <c r="H275" s="160">
        <v>242</v>
      </c>
      <c r="I275" s="160">
        <v>712</v>
      </c>
      <c r="J275" s="160">
        <v>897</v>
      </c>
      <c r="K275" s="160">
        <v>897</v>
      </c>
      <c r="L275" s="160">
        <f t="shared" si="8"/>
        <v>684.8</v>
      </c>
      <c r="M275" s="160">
        <f t="shared" si="9"/>
        <v>910.8</v>
      </c>
    </row>
    <row r="276" spans="1:13" x14ac:dyDescent="0.2">
      <c r="A276" s="160" t="s">
        <v>290</v>
      </c>
      <c r="B276" s="160">
        <v>7481</v>
      </c>
      <c r="C276" s="160">
        <v>8671</v>
      </c>
      <c r="D276" s="160">
        <v>2423</v>
      </c>
      <c r="E276" s="160">
        <v>1935</v>
      </c>
      <c r="F276" s="160">
        <v>1284</v>
      </c>
      <c r="G276" s="160">
        <v>2441</v>
      </c>
      <c r="H276" s="160">
        <v>2362</v>
      </c>
      <c r="I276" s="160">
        <v>2471</v>
      </c>
      <c r="J276" s="160">
        <v>1875</v>
      </c>
      <c r="K276" s="160">
        <v>1875</v>
      </c>
      <c r="L276" s="160">
        <f t="shared" si="8"/>
        <v>3085</v>
      </c>
      <c r="M276" s="160">
        <f t="shared" si="9"/>
        <v>3478.6</v>
      </c>
    </row>
    <row r="277" spans="1:13" x14ac:dyDescent="0.2">
      <c r="A277" s="160" t="s">
        <v>476</v>
      </c>
      <c r="B277" s="160">
        <v>23512</v>
      </c>
      <c r="C277" s="160">
        <v>24240</v>
      </c>
      <c r="D277" s="160">
        <v>28603</v>
      </c>
      <c r="E277" s="160">
        <v>28720</v>
      </c>
      <c r="F277" s="160">
        <v>16970</v>
      </c>
      <c r="G277" s="160">
        <v>25081</v>
      </c>
      <c r="H277" s="160">
        <v>34869</v>
      </c>
      <c r="I277" s="160">
        <v>36276</v>
      </c>
      <c r="J277" s="160">
        <v>24687</v>
      </c>
      <c r="K277" s="160">
        <v>25270</v>
      </c>
      <c r="L277" s="160">
        <f t="shared" si="8"/>
        <v>25728.2</v>
      </c>
      <c r="M277" s="160">
        <f t="shared" si="9"/>
        <v>27917.4</v>
      </c>
    </row>
    <row r="278" spans="1:13" x14ac:dyDescent="0.2">
      <c r="A278" s="160" t="s">
        <v>594</v>
      </c>
      <c r="B278" s="160">
        <v>760</v>
      </c>
      <c r="C278" s="160">
        <v>2183</v>
      </c>
      <c r="D278" s="160">
        <v>3277</v>
      </c>
      <c r="E278" s="160">
        <v>2815</v>
      </c>
      <c r="F278" s="160">
        <v>2023</v>
      </c>
      <c r="G278" s="160">
        <v>123</v>
      </c>
      <c r="H278" s="160">
        <v>20</v>
      </c>
      <c r="I278" s="160">
        <v>21</v>
      </c>
      <c r="J278" s="160">
        <v>542</v>
      </c>
      <c r="K278" s="160">
        <v>542</v>
      </c>
      <c r="L278" s="160">
        <f t="shared" si="8"/>
        <v>1324.4</v>
      </c>
      <c r="M278" s="160">
        <f t="shared" si="9"/>
        <v>1136.8</v>
      </c>
    </row>
    <row r="279" spans="1:13" x14ac:dyDescent="0.2">
      <c r="A279" s="160" t="s">
        <v>595</v>
      </c>
      <c r="B279" s="160">
        <v>16264</v>
      </c>
      <c r="C279" s="160">
        <v>15272</v>
      </c>
      <c r="D279" s="160">
        <v>4724</v>
      </c>
      <c r="E279" s="160">
        <v>3731</v>
      </c>
      <c r="F279" s="160">
        <v>6538</v>
      </c>
      <c r="G279" s="160">
        <v>6672</v>
      </c>
      <c r="H279" s="160">
        <v>3628</v>
      </c>
      <c r="I279" s="160">
        <v>4460</v>
      </c>
      <c r="J279" s="160">
        <v>10900</v>
      </c>
      <c r="K279" s="160">
        <v>11529</v>
      </c>
      <c r="L279" s="160">
        <f t="shared" si="8"/>
        <v>8410.7999999999993</v>
      </c>
      <c r="M279" s="160">
        <f t="shared" si="9"/>
        <v>8332.7999999999993</v>
      </c>
    </row>
    <row r="280" spans="1:13" x14ac:dyDescent="0.2">
      <c r="A280" s="160" t="s">
        <v>553</v>
      </c>
      <c r="B280" s="160">
        <v>28334</v>
      </c>
      <c r="C280" s="160">
        <v>34960</v>
      </c>
      <c r="D280" s="160">
        <v>29789</v>
      </c>
      <c r="E280" s="160">
        <v>29229</v>
      </c>
      <c r="F280" s="160">
        <v>38847</v>
      </c>
      <c r="G280" s="160">
        <v>40522</v>
      </c>
      <c r="H280" s="160">
        <v>53970</v>
      </c>
      <c r="I280" s="160">
        <v>55309</v>
      </c>
      <c r="J280" s="160">
        <v>18002</v>
      </c>
      <c r="K280" s="160">
        <v>18133</v>
      </c>
      <c r="L280" s="160">
        <f t="shared" si="8"/>
        <v>33788.400000000001</v>
      </c>
      <c r="M280" s="160">
        <f t="shared" si="9"/>
        <v>35630.6</v>
      </c>
    </row>
    <row r="281" spans="1:13" x14ac:dyDescent="0.2">
      <c r="A281" s="160" t="s">
        <v>477</v>
      </c>
      <c r="B281" s="160">
        <v>218502</v>
      </c>
      <c r="C281" s="160">
        <v>381402</v>
      </c>
      <c r="D281" s="160">
        <v>199123</v>
      </c>
      <c r="E281" s="160">
        <v>136469</v>
      </c>
      <c r="F281" s="160">
        <v>283572</v>
      </c>
      <c r="G281" s="160">
        <v>307703</v>
      </c>
      <c r="H281" s="160">
        <v>200258</v>
      </c>
      <c r="I281" s="160">
        <v>203304</v>
      </c>
      <c r="J281" s="160">
        <v>318373</v>
      </c>
      <c r="K281" s="160">
        <v>325384</v>
      </c>
      <c r="L281" s="160">
        <f t="shared" si="8"/>
        <v>243965.6</v>
      </c>
      <c r="M281" s="160">
        <f t="shared" si="9"/>
        <v>270852.40000000002</v>
      </c>
    </row>
    <row r="282" spans="1:13" x14ac:dyDescent="0.2">
      <c r="A282" s="160" t="s">
        <v>341</v>
      </c>
      <c r="B282" s="160">
        <v>0</v>
      </c>
      <c r="C282" s="160">
        <v>2</v>
      </c>
      <c r="D282" s="160">
        <v>5</v>
      </c>
      <c r="E282" s="160">
        <v>2</v>
      </c>
      <c r="F282" s="160">
        <v>0</v>
      </c>
      <c r="G282" s="160">
        <v>6</v>
      </c>
      <c r="H282" s="160">
        <v>221</v>
      </c>
      <c r="I282" s="160">
        <v>222</v>
      </c>
      <c r="J282" s="160">
        <v>0</v>
      </c>
      <c r="K282" s="160">
        <v>1</v>
      </c>
      <c r="L282" s="160">
        <f t="shared" si="8"/>
        <v>45.2</v>
      </c>
      <c r="M282" s="160">
        <f t="shared" si="9"/>
        <v>46.6</v>
      </c>
    </row>
    <row r="283" spans="1:13" x14ac:dyDescent="0.2">
      <c r="A283" s="160" t="s">
        <v>554</v>
      </c>
      <c r="B283" s="160">
        <v>6180</v>
      </c>
      <c r="C283" s="160">
        <v>4567</v>
      </c>
      <c r="D283" s="160">
        <v>5987</v>
      </c>
      <c r="E283" s="160">
        <v>5547</v>
      </c>
      <c r="F283" s="160">
        <v>3040</v>
      </c>
      <c r="G283" s="160">
        <v>2380</v>
      </c>
      <c r="H283" s="160">
        <v>1601</v>
      </c>
      <c r="I283" s="160">
        <v>3010</v>
      </c>
      <c r="J283" s="160">
        <v>2971</v>
      </c>
      <c r="K283" s="160">
        <v>3591</v>
      </c>
      <c r="L283" s="160">
        <f t="shared" si="8"/>
        <v>3955.8</v>
      </c>
      <c r="M283" s="160">
        <f t="shared" si="9"/>
        <v>3819</v>
      </c>
    </row>
    <row r="284" spans="1:13" x14ac:dyDescent="0.2">
      <c r="A284" s="160" t="s">
        <v>418</v>
      </c>
      <c r="B284" s="160">
        <v>5436</v>
      </c>
      <c r="C284" s="160">
        <v>5295</v>
      </c>
      <c r="D284" s="160">
        <v>6944</v>
      </c>
      <c r="E284" s="160">
        <v>7308</v>
      </c>
      <c r="F284" s="160">
        <v>7750</v>
      </c>
      <c r="G284" s="160">
        <v>19147</v>
      </c>
      <c r="H284" s="160">
        <v>1765</v>
      </c>
      <c r="I284" s="160">
        <v>2639</v>
      </c>
      <c r="J284" s="160">
        <v>1354</v>
      </c>
      <c r="K284" s="160">
        <v>1713</v>
      </c>
      <c r="L284" s="160">
        <f t="shared" si="8"/>
        <v>4649.8</v>
      </c>
      <c r="M284" s="160">
        <f t="shared" si="9"/>
        <v>7220.4</v>
      </c>
    </row>
    <row r="285" spans="1:13" x14ac:dyDescent="0.2">
      <c r="A285" s="160" t="s">
        <v>342</v>
      </c>
      <c r="B285" s="160">
        <v>1259</v>
      </c>
      <c r="C285" s="160">
        <v>1259</v>
      </c>
      <c r="D285" s="160">
        <v>295</v>
      </c>
      <c r="E285" s="160">
        <v>297</v>
      </c>
      <c r="F285" s="160">
        <v>413</v>
      </c>
      <c r="G285" s="160">
        <v>414</v>
      </c>
      <c r="H285" s="160">
        <v>534</v>
      </c>
      <c r="I285" s="160">
        <v>2598</v>
      </c>
      <c r="J285" s="160">
        <v>353</v>
      </c>
      <c r="K285" s="160">
        <v>353</v>
      </c>
      <c r="L285" s="160">
        <f t="shared" si="8"/>
        <v>570.79999999999995</v>
      </c>
      <c r="M285" s="160">
        <f t="shared" si="9"/>
        <v>984.2</v>
      </c>
    </row>
    <row r="286" spans="1:13" x14ac:dyDescent="0.2">
      <c r="A286" s="160" t="s">
        <v>478</v>
      </c>
      <c r="B286" s="160">
        <v>37591</v>
      </c>
      <c r="C286" s="160">
        <v>28160</v>
      </c>
      <c r="D286" s="160">
        <v>24649</v>
      </c>
      <c r="E286" s="160">
        <v>29826</v>
      </c>
      <c r="F286" s="160">
        <v>72894</v>
      </c>
      <c r="G286" s="160">
        <v>36744</v>
      </c>
      <c r="H286" s="160">
        <v>29277</v>
      </c>
      <c r="I286" s="160">
        <v>29700</v>
      </c>
      <c r="J286" s="160">
        <v>32038</v>
      </c>
      <c r="K286" s="160">
        <v>29951</v>
      </c>
      <c r="L286" s="160">
        <f t="shared" si="8"/>
        <v>39289.800000000003</v>
      </c>
      <c r="M286" s="160">
        <f t="shared" si="9"/>
        <v>30876.2</v>
      </c>
    </row>
    <row r="287" spans="1:13" x14ac:dyDescent="0.2">
      <c r="A287" s="160" t="s">
        <v>268</v>
      </c>
      <c r="B287" s="160">
        <v>350</v>
      </c>
      <c r="C287" s="160">
        <v>300</v>
      </c>
      <c r="D287" s="160">
        <v>55</v>
      </c>
      <c r="E287" s="160">
        <v>14</v>
      </c>
      <c r="F287" s="160">
        <v>0</v>
      </c>
      <c r="G287" s="160">
        <v>0</v>
      </c>
      <c r="H287" s="160">
        <v>20</v>
      </c>
      <c r="I287" s="160">
        <v>38</v>
      </c>
      <c r="J287" s="160">
        <v>0</v>
      </c>
      <c r="K287" s="160">
        <v>0</v>
      </c>
      <c r="L287" s="160">
        <f t="shared" si="8"/>
        <v>85</v>
      </c>
      <c r="M287" s="160">
        <f t="shared" si="9"/>
        <v>70.400000000000006</v>
      </c>
    </row>
    <row r="288" spans="1:13" x14ac:dyDescent="0.2">
      <c r="A288" s="160" t="s">
        <v>555</v>
      </c>
      <c r="B288" s="160">
        <v>2947</v>
      </c>
      <c r="C288" s="160">
        <v>3230</v>
      </c>
      <c r="D288" s="160">
        <v>2318</v>
      </c>
      <c r="E288" s="160">
        <v>2506</v>
      </c>
      <c r="F288" s="160">
        <v>3490</v>
      </c>
      <c r="G288" s="160">
        <v>3730</v>
      </c>
      <c r="H288" s="160">
        <v>4529</v>
      </c>
      <c r="I288" s="160">
        <v>5753</v>
      </c>
      <c r="J288" s="160">
        <v>5050</v>
      </c>
      <c r="K288" s="160">
        <v>5254</v>
      </c>
      <c r="L288" s="160">
        <f t="shared" si="8"/>
        <v>3666.8</v>
      </c>
      <c r="M288" s="160">
        <f t="shared" si="9"/>
        <v>4094.6</v>
      </c>
    </row>
    <row r="289" spans="1:13" x14ac:dyDescent="0.2">
      <c r="A289" s="160" t="s">
        <v>596</v>
      </c>
      <c r="B289" s="160">
        <v>59</v>
      </c>
      <c r="C289" s="160">
        <v>59</v>
      </c>
      <c r="D289" s="160">
        <v>12</v>
      </c>
      <c r="E289" s="160">
        <v>12</v>
      </c>
      <c r="F289" s="160">
        <v>0</v>
      </c>
      <c r="G289" s="160">
        <v>0</v>
      </c>
      <c r="H289" s="160">
        <v>0</v>
      </c>
      <c r="I289" s="160">
        <v>0</v>
      </c>
      <c r="J289" s="160">
        <v>0</v>
      </c>
      <c r="K289" s="160">
        <v>0</v>
      </c>
      <c r="L289" s="160">
        <f t="shared" si="8"/>
        <v>14.2</v>
      </c>
      <c r="M289" s="160">
        <f t="shared" si="9"/>
        <v>14.2</v>
      </c>
    </row>
    <row r="290" spans="1:13" x14ac:dyDescent="0.2">
      <c r="A290" s="160" t="s">
        <v>503</v>
      </c>
      <c r="B290" s="160">
        <v>5337</v>
      </c>
      <c r="C290" s="160">
        <v>5131</v>
      </c>
      <c r="D290" s="160">
        <v>7387</v>
      </c>
      <c r="E290" s="160">
        <v>6404</v>
      </c>
      <c r="F290" s="160">
        <v>972</v>
      </c>
      <c r="G290" s="160">
        <v>4422</v>
      </c>
      <c r="H290" s="160">
        <v>3870</v>
      </c>
      <c r="I290" s="160">
        <v>6640</v>
      </c>
      <c r="J290" s="160">
        <v>3273</v>
      </c>
      <c r="K290" s="160">
        <v>2811</v>
      </c>
      <c r="L290" s="160">
        <f t="shared" si="8"/>
        <v>4167.8</v>
      </c>
      <c r="M290" s="160">
        <f t="shared" si="9"/>
        <v>5081.6000000000004</v>
      </c>
    </row>
    <row r="291" spans="1:13" x14ac:dyDescent="0.2">
      <c r="A291" s="160" t="s">
        <v>629</v>
      </c>
      <c r="B291" s="160">
        <v>231879</v>
      </c>
      <c r="C291" s="160">
        <v>283837</v>
      </c>
      <c r="D291" s="160">
        <v>97451</v>
      </c>
      <c r="E291" s="160">
        <v>150573</v>
      </c>
      <c r="F291" s="160">
        <v>42070</v>
      </c>
      <c r="G291" s="160">
        <v>49407</v>
      </c>
      <c r="H291" s="160">
        <v>133714</v>
      </c>
      <c r="I291" s="160">
        <v>158354</v>
      </c>
      <c r="J291" s="160">
        <v>81740</v>
      </c>
      <c r="K291" s="160">
        <v>91592</v>
      </c>
      <c r="L291" s="160">
        <f t="shared" si="8"/>
        <v>117370.8</v>
      </c>
      <c r="M291" s="160">
        <f t="shared" si="9"/>
        <v>146752.6</v>
      </c>
    </row>
    <row r="292" spans="1:13" x14ac:dyDescent="0.2">
      <c r="A292" s="160" t="s">
        <v>744</v>
      </c>
      <c r="B292" s="160">
        <v>48681.428925912798</v>
      </c>
      <c r="C292" s="160">
        <v>46962.585962424673</v>
      </c>
      <c r="D292" s="160">
        <v>51215.391705069123</v>
      </c>
      <c r="E292" s="160">
        <v>53943.05281814959</v>
      </c>
      <c r="F292" s="160">
        <v>43110.174760723152</v>
      </c>
      <c r="G292" s="160">
        <v>50800.778092874869</v>
      </c>
      <c r="H292" s="160">
        <v>29602.707904998228</v>
      </c>
      <c r="I292" s="160">
        <v>32071.861042183624</v>
      </c>
      <c r="J292" s="160">
        <v>58258.037220843675</v>
      </c>
      <c r="K292" s="160">
        <v>58926.303084012761</v>
      </c>
      <c r="L292" s="160">
        <v>46173.548103509391</v>
      </c>
      <c r="M292" s="160">
        <v>48540.916199929103</v>
      </c>
    </row>
    <row r="293" spans="1:13" x14ac:dyDescent="0.2">
      <c r="A293" s="160" t="s">
        <v>597</v>
      </c>
      <c r="B293" s="160">
        <v>27</v>
      </c>
      <c r="C293" s="160">
        <v>162</v>
      </c>
      <c r="D293" s="160">
        <v>22</v>
      </c>
      <c r="E293" s="160">
        <v>132</v>
      </c>
      <c r="F293" s="160">
        <v>21</v>
      </c>
      <c r="G293" s="160">
        <v>74</v>
      </c>
      <c r="H293" s="160">
        <v>54</v>
      </c>
      <c r="I293" s="160">
        <v>129</v>
      </c>
      <c r="J293" s="160">
        <v>27</v>
      </c>
      <c r="K293" s="160">
        <v>48</v>
      </c>
      <c r="L293" s="160">
        <f t="shared" si="8"/>
        <v>30.2</v>
      </c>
      <c r="M293" s="160">
        <f t="shared" si="9"/>
        <v>109</v>
      </c>
    </row>
    <row r="294" spans="1:13" x14ac:dyDescent="0.2">
      <c r="A294" s="160" t="s">
        <v>619</v>
      </c>
      <c r="B294" s="160">
        <v>4947</v>
      </c>
      <c r="C294" s="160">
        <v>6002</v>
      </c>
      <c r="D294" s="160">
        <v>6333</v>
      </c>
      <c r="E294" s="160">
        <v>7930</v>
      </c>
      <c r="F294" s="160">
        <v>2343</v>
      </c>
      <c r="G294" s="160">
        <v>2708</v>
      </c>
      <c r="H294" s="160">
        <v>1739</v>
      </c>
      <c r="I294" s="160">
        <v>4530</v>
      </c>
      <c r="J294" s="160">
        <v>4209</v>
      </c>
      <c r="K294" s="160">
        <v>4210</v>
      </c>
      <c r="L294" s="160">
        <f t="shared" si="8"/>
        <v>3914.2</v>
      </c>
      <c r="M294" s="160">
        <f t="shared" si="9"/>
        <v>5076</v>
      </c>
    </row>
    <row r="295" spans="1:13" x14ac:dyDescent="0.2">
      <c r="A295" s="160" t="s">
        <v>557</v>
      </c>
      <c r="B295" s="160">
        <v>4341</v>
      </c>
      <c r="C295" s="160">
        <v>5419</v>
      </c>
      <c r="D295" s="160">
        <v>2100</v>
      </c>
      <c r="E295" s="160">
        <v>3360</v>
      </c>
      <c r="F295" s="160">
        <v>7288</v>
      </c>
      <c r="G295" s="160">
        <v>4692</v>
      </c>
      <c r="H295" s="160">
        <v>3016</v>
      </c>
      <c r="I295" s="160">
        <v>3823</v>
      </c>
      <c r="J295" s="160">
        <v>10444</v>
      </c>
      <c r="K295" s="160">
        <v>9262</v>
      </c>
      <c r="L295" s="160">
        <f t="shared" si="8"/>
        <v>5437.8</v>
      </c>
      <c r="M295" s="160">
        <f t="shared" si="9"/>
        <v>5311.2</v>
      </c>
    </row>
    <row r="296" spans="1:13" x14ac:dyDescent="0.2">
      <c r="A296" s="160" t="s">
        <v>558</v>
      </c>
      <c r="B296" s="160">
        <v>5505</v>
      </c>
      <c r="C296" s="160">
        <v>4386</v>
      </c>
      <c r="D296" s="160">
        <v>5717</v>
      </c>
      <c r="E296" s="160">
        <v>5991</v>
      </c>
      <c r="F296" s="160">
        <v>6208</v>
      </c>
      <c r="G296" s="160">
        <v>5409</v>
      </c>
      <c r="H296" s="160">
        <v>3240</v>
      </c>
      <c r="I296" s="160">
        <v>3764</v>
      </c>
      <c r="J296" s="160">
        <v>3601</v>
      </c>
      <c r="K296" s="160">
        <v>2302</v>
      </c>
      <c r="L296" s="160">
        <f t="shared" si="8"/>
        <v>4854.2</v>
      </c>
      <c r="M296" s="160">
        <f t="shared" si="9"/>
        <v>4370.3999999999996</v>
      </c>
    </row>
    <row r="297" spans="1:13" x14ac:dyDescent="0.2">
      <c r="A297" s="160" t="s">
        <v>598</v>
      </c>
      <c r="B297" s="160">
        <v>44702</v>
      </c>
      <c r="C297" s="160">
        <v>48930</v>
      </c>
      <c r="D297" s="160">
        <v>45958</v>
      </c>
      <c r="E297" s="160">
        <v>54153</v>
      </c>
      <c r="F297" s="160">
        <v>23364</v>
      </c>
      <c r="G297" s="160">
        <v>29576</v>
      </c>
      <c r="H297" s="160">
        <v>20141</v>
      </c>
      <c r="I297" s="160">
        <v>21268</v>
      </c>
      <c r="J297" s="160">
        <v>12165</v>
      </c>
      <c r="K297" s="160">
        <v>13780</v>
      </c>
      <c r="L297" s="160">
        <f t="shared" si="8"/>
        <v>29266</v>
      </c>
      <c r="M297" s="160">
        <f t="shared" si="9"/>
        <v>33541.4</v>
      </c>
    </row>
    <row r="298" spans="1:13" x14ac:dyDescent="0.2">
      <c r="A298" s="160" t="s">
        <v>480</v>
      </c>
      <c r="B298" s="160">
        <v>5230</v>
      </c>
      <c r="C298" s="160">
        <v>3760</v>
      </c>
      <c r="D298" s="160">
        <v>2089</v>
      </c>
      <c r="E298" s="160">
        <v>2305</v>
      </c>
      <c r="F298" s="160">
        <v>4198</v>
      </c>
      <c r="G298" s="160">
        <v>4338</v>
      </c>
      <c r="H298" s="160">
        <v>2787</v>
      </c>
      <c r="I298" s="160">
        <v>4051</v>
      </c>
      <c r="J298" s="160">
        <v>901</v>
      </c>
      <c r="K298" s="160">
        <v>650</v>
      </c>
      <c r="L298" s="160">
        <f t="shared" si="8"/>
        <v>3041</v>
      </c>
      <c r="M298" s="160">
        <f t="shared" si="9"/>
        <v>3020.8</v>
      </c>
    </row>
    <row r="299" spans="1:13" x14ac:dyDescent="0.2">
      <c r="A299" s="160" t="s">
        <v>245</v>
      </c>
      <c r="B299" s="160">
        <v>5495</v>
      </c>
      <c r="C299" s="160">
        <v>3540</v>
      </c>
      <c r="D299" s="160">
        <v>4012</v>
      </c>
      <c r="E299" s="160">
        <v>4011</v>
      </c>
      <c r="F299" s="160">
        <v>943</v>
      </c>
      <c r="G299" s="160">
        <v>1072</v>
      </c>
      <c r="H299" s="160">
        <v>1714</v>
      </c>
      <c r="I299" s="160">
        <v>2444</v>
      </c>
      <c r="J299" s="160">
        <v>2245</v>
      </c>
      <c r="K299" s="160">
        <v>2264</v>
      </c>
      <c r="L299" s="160">
        <f t="shared" si="8"/>
        <v>2881.8</v>
      </c>
      <c r="M299" s="160">
        <f t="shared" si="9"/>
        <v>2666.2</v>
      </c>
    </row>
    <row r="300" spans="1:13" x14ac:dyDescent="0.2">
      <c r="A300" s="160" t="s">
        <v>504</v>
      </c>
      <c r="B300" s="160">
        <v>2384</v>
      </c>
      <c r="C300" s="160">
        <v>2199</v>
      </c>
      <c r="D300" s="160">
        <v>5653</v>
      </c>
      <c r="E300" s="160">
        <v>6245</v>
      </c>
      <c r="F300" s="160">
        <v>901</v>
      </c>
      <c r="G300" s="160">
        <v>2284</v>
      </c>
      <c r="H300" s="160">
        <v>1433</v>
      </c>
      <c r="I300" s="160">
        <v>1107</v>
      </c>
      <c r="J300" s="160">
        <v>139</v>
      </c>
      <c r="K300" s="160">
        <v>617</v>
      </c>
      <c r="L300" s="160">
        <f t="shared" si="8"/>
        <v>2102</v>
      </c>
      <c r="M300" s="160">
        <f t="shared" si="9"/>
        <v>2490.4</v>
      </c>
    </row>
    <row r="301" spans="1:13" x14ac:dyDescent="0.2">
      <c r="A301" s="160" t="s">
        <v>269</v>
      </c>
      <c r="B301" s="160">
        <v>6977</v>
      </c>
      <c r="C301" s="160">
        <v>7299</v>
      </c>
      <c r="D301" s="160">
        <v>5495</v>
      </c>
      <c r="E301" s="160">
        <v>7228</v>
      </c>
      <c r="F301" s="160">
        <v>2814</v>
      </c>
      <c r="G301" s="160">
        <v>2693</v>
      </c>
      <c r="H301" s="160">
        <v>1921</v>
      </c>
      <c r="I301" s="160">
        <v>5609</v>
      </c>
      <c r="J301" s="160">
        <v>6872</v>
      </c>
      <c r="K301" s="160">
        <v>7269</v>
      </c>
      <c r="L301" s="160">
        <f t="shared" si="8"/>
        <v>4815.8</v>
      </c>
      <c r="M301" s="160">
        <f t="shared" si="9"/>
        <v>6019.6</v>
      </c>
    </row>
    <row r="302" spans="1:13" x14ac:dyDescent="0.2">
      <c r="A302" s="160" t="s">
        <v>370</v>
      </c>
      <c r="B302" s="160">
        <v>1152</v>
      </c>
      <c r="C302" s="160">
        <v>1277</v>
      </c>
      <c r="D302" s="160">
        <v>4041</v>
      </c>
      <c r="E302" s="160">
        <v>3634</v>
      </c>
      <c r="F302" s="160">
        <v>6938</v>
      </c>
      <c r="G302" s="160">
        <v>20584</v>
      </c>
      <c r="H302" s="160">
        <v>4530</v>
      </c>
      <c r="I302" s="160">
        <v>6121</v>
      </c>
      <c r="J302" s="160">
        <v>12695</v>
      </c>
      <c r="K302" s="160">
        <v>12728</v>
      </c>
      <c r="L302" s="160">
        <f t="shared" si="8"/>
        <v>5871.2</v>
      </c>
      <c r="M302" s="160">
        <f t="shared" si="9"/>
        <v>8868.7999999999993</v>
      </c>
    </row>
    <row r="303" spans="1:13" x14ac:dyDescent="0.2">
      <c r="A303" s="160" t="s">
        <v>559</v>
      </c>
      <c r="B303" s="160">
        <v>9418</v>
      </c>
      <c r="C303" s="160">
        <v>11154</v>
      </c>
      <c r="D303" s="160">
        <v>1700</v>
      </c>
      <c r="E303" s="160">
        <v>1305</v>
      </c>
      <c r="F303" s="160">
        <v>4564</v>
      </c>
      <c r="G303" s="160">
        <v>5220</v>
      </c>
      <c r="H303" s="160">
        <v>7757</v>
      </c>
      <c r="I303" s="160">
        <v>3454</v>
      </c>
      <c r="J303" s="160">
        <v>12438</v>
      </c>
      <c r="K303" s="160">
        <v>11561</v>
      </c>
      <c r="L303" s="160">
        <f t="shared" si="8"/>
        <v>7175.4</v>
      </c>
      <c r="M303" s="160">
        <f t="shared" si="9"/>
        <v>6538.8</v>
      </c>
    </row>
    <row r="304" spans="1:13" x14ac:dyDescent="0.2">
      <c r="A304" s="160" t="s">
        <v>560</v>
      </c>
      <c r="B304" s="160">
        <v>7899</v>
      </c>
      <c r="C304" s="160">
        <v>7496</v>
      </c>
      <c r="D304" s="160">
        <v>4022</v>
      </c>
      <c r="E304" s="160">
        <v>4036</v>
      </c>
      <c r="F304" s="160">
        <v>4284</v>
      </c>
      <c r="G304" s="160">
        <v>4290</v>
      </c>
      <c r="H304" s="160">
        <v>5765</v>
      </c>
      <c r="I304" s="160">
        <v>4221</v>
      </c>
      <c r="J304" s="160">
        <v>3599</v>
      </c>
      <c r="K304" s="160">
        <v>3724</v>
      </c>
      <c r="L304" s="160">
        <f t="shared" si="8"/>
        <v>5113.8</v>
      </c>
      <c r="M304" s="160">
        <f t="shared" si="9"/>
        <v>4753.3999999999996</v>
      </c>
    </row>
    <row r="305" spans="1:13" x14ac:dyDescent="0.2">
      <c r="A305" s="160" t="s">
        <v>246</v>
      </c>
      <c r="B305" s="160">
        <v>2557</v>
      </c>
      <c r="C305" s="160">
        <v>5458</v>
      </c>
      <c r="D305" s="160">
        <v>3699</v>
      </c>
      <c r="E305" s="160">
        <v>4937</v>
      </c>
      <c r="F305" s="160">
        <v>2278</v>
      </c>
      <c r="G305" s="160">
        <v>2545</v>
      </c>
      <c r="H305" s="160">
        <v>521</v>
      </c>
      <c r="I305" s="160">
        <v>2301</v>
      </c>
      <c r="J305" s="160">
        <v>1122</v>
      </c>
      <c r="K305" s="160">
        <v>1121</v>
      </c>
      <c r="L305" s="160">
        <f t="shared" si="8"/>
        <v>2035.4</v>
      </c>
      <c r="M305" s="160">
        <f t="shared" si="9"/>
        <v>3272.4</v>
      </c>
    </row>
    <row r="306" spans="1:13" x14ac:dyDescent="0.2">
      <c r="A306" s="160" t="s">
        <v>291</v>
      </c>
      <c r="B306" s="160">
        <v>4120</v>
      </c>
      <c r="C306" s="160">
        <v>3819</v>
      </c>
      <c r="D306" s="160">
        <v>4939</v>
      </c>
      <c r="E306" s="160">
        <v>4777</v>
      </c>
      <c r="F306" s="160">
        <v>7013</v>
      </c>
      <c r="G306" s="160">
        <v>6963</v>
      </c>
      <c r="H306" s="160">
        <v>5850</v>
      </c>
      <c r="I306" s="160">
        <v>6000</v>
      </c>
      <c r="J306" s="160">
        <v>4508</v>
      </c>
      <c r="K306" s="160">
        <v>4582</v>
      </c>
      <c r="L306" s="160">
        <f t="shared" si="8"/>
        <v>5286</v>
      </c>
      <c r="M306" s="160">
        <f t="shared" si="9"/>
        <v>5228.2</v>
      </c>
    </row>
    <row r="307" spans="1:13" x14ac:dyDescent="0.2">
      <c r="A307" s="160" t="s">
        <v>420</v>
      </c>
      <c r="B307" s="160">
        <v>3758</v>
      </c>
      <c r="C307" s="160">
        <v>6886</v>
      </c>
      <c r="D307" s="160">
        <v>3888</v>
      </c>
      <c r="E307" s="160">
        <v>2121</v>
      </c>
      <c r="F307" s="160">
        <v>2767</v>
      </c>
      <c r="G307" s="160">
        <v>5260</v>
      </c>
      <c r="H307" s="160">
        <v>5244</v>
      </c>
      <c r="I307" s="160">
        <v>4278</v>
      </c>
      <c r="J307" s="160">
        <v>1453</v>
      </c>
      <c r="K307" s="160">
        <v>1586</v>
      </c>
      <c r="L307" s="160">
        <f t="shared" si="8"/>
        <v>3422</v>
      </c>
      <c r="M307" s="160">
        <f t="shared" si="9"/>
        <v>4026.2</v>
      </c>
    </row>
    <row r="308" spans="1:13" x14ac:dyDescent="0.2">
      <c r="A308" s="160" t="s">
        <v>561</v>
      </c>
      <c r="B308" s="160">
        <v>3083</v>
      </c>
      <c r="C308" s="160">
        <v>3468</v>
      </c>
      <c r="D308" s="160">
        <v>1413</v>
      </c>
      <c r="E308" s="160">
        <v>3451</v>
      </c>
      <c r="F308" s="160">
        <v>4163</v>
      </c>
      <c r="G308" s="160">
        <v>6113</v>
      </c>
      <c r="H308" s="160">
        <v>2653</v>
      </c>
      <c r="I308" s="160">
        <v>2784</v>
      </c>
      <c r="J308" s="160">
        <v>1602</v>
      </c>
      <c r="K308" s="160">
        <v>2564</v>
      </c>
      <c r="L308" s="160">
        <f t="shared" si="8"/>
        <v>2582.8000000000002</v>
      </c>
      <c r="M308" s="160">
        <f t="shared" si="9"/>
        <v>3676</v>
      </c>
    </row>
    <row r="309" spans="1:13" x14ac:dyDescent="0.2">
      <c r="A309" s="160" t="s">
        <v>292</v>
      </c>
      <c r="B309" s="160">
        <v>11891</v>
      </c>
      <c r="C309" s="160">
        <v>14249</v>
      </c>
      <c r="D309" s="160">
        <v>6621</v>
      </c>
      <c r="E309" s="160">
        <v>7309</v>
      </c>
      <c r="F309" s="160">
        <v>5813</v>
      </c>
      <c r="G309" s="160">
        <v>7449</v>
      </c>
      <c r="H309" s="160">
        <v>6111</v>
      </c>
      <c r="I309" s="160">
        <v>8579</v>
      </c>
      <c r="J309" s="160">
        <v>13974</v>
      </c>
      <c r="K309" s="160">
        <v>12881</v>
      </c>
      <c r="L309" s="160">
        <f t="shared" si="8"/>
        <v>8882</v>
      </c>
      <c r="M309" s="160">
        <f t="shared" si="9"/>
        <v>10093.4</v>
      </c>
    </row>
    <row r="310" spans="1:13" x14ac:dyDescent="0.2">
      <c r="A310" s="160" t="s">
        <v>599</v>
      </c>
      <c r="B310" s="160">
        <v>5639</v>
      </c>
      <c r="C310" s="160">
        <v>5690</v>
      </c>
      <c r="D310" s="160">
        <v>6189</v>
      </c>
      <c r="E310" s="160">
        <v>6836</v>
      </c>
      <c r="F310" s="160">
        <v>4401</v>
      </c>
      <c r="G310" s="160">
        <v>3930</v>
      </c>
      <c r="H310" s="160">
        <v>3530</v>
      </c>
      <c r="I310" s="160">
        <v>4333</v>
      </c>
      <c r="J310" s="160">
        <v>2944</v>
      </c>
      <c r="K310" s="160">
        <v>2694</v>
      </c>
      <c r="L310" s="160">
        <f t="shared" si="8"/>
        <v>4540.6000000000004</v>
      </c>
      <c r="M310" s="160">
        <f t="shared" si="9"/>
        <v>4696.6000000000004</v>
      </c>
    </row>
    <row r="311" spans="1:13" x14ac:dyDescent="0.2">
      <c r="A311" s="160" t="s">
        <v>371</v>
      </c>
      <c r="B311" s="160">
        <v>7403</v>
      </c>
      <c r="C311" s="160">
        <v>7379</v>
      </c>
      <c r="D311" s="160">
        <v>1926</v>
      </c>
      <c r="E311" s="160">
        <v>2943</v>
      </c>
      <c r="F311" s="160">
        <v>49</v>
      </c>
      <c r="G311" s="160">
        <v>431</v>
      </c>
      <c r="H311" s="160">
        <v>383</v>
      </c>
      <c r="I311" s="160">
        <v>394</v>
      </c>
      <c r="J311" s="160">
        <v>1171</v>
      </c>
      <c r="K311" s="160">
        <v>1314</v>
      </c>
      <c r="L311" s="160">
        <f t="shared" si="8"/>
        <v>2186.4</v>
      </c>
      <c r="M311" s="160">
        <f t="shared" si="9"/>
        <v>2492.1999999999998</v>
      </c>
    </row>
    <row r="312" spans="1:13" x14ac:dyDescent="0.2">
      <c r="A312" s="160" t="s">
        <v>482</v>
      </c>
      <c r="B312" s="160">
        <v>5627</v>
      </c>
      <c r="C312" s="160">
        <v>5248</v>
      </c>
      <c r="D312" s="160">
        <v>2126</v>
      </c>
      <c r="E312" s="160">
        <v>2082</v>
      </c>
      <c r="F312" s="160">
        <v>433</v>
      </c>
      <c r="G312" s="160">
        <v>443</v>
      </c>
      <c r="H312" s="160">
        <v>410</v>
      </c>
      <c r="I312" s="160">
        <v>703</v>
      </c>
      <c r="J312" s="160">
        <v>2751</v>
      </c>
      <c r="K312" s="160">
        <v>2777</v>
      </c>
      <c r="L312" s="160">
        <f t="shared" si="8"/>
        <v>2269.4</v>
      </c>
      <c r="M312" s="160">
        <f t="shared" si="9"/>
        <v>2250.6</v>
      </c>
    </row>
    <row r="313" spans="1:13" x14ac:dyDescent="0.2">
      <c r="A313" s="160" t="s">
        <v>620</v>
      </c>
      <c r="B313" s="160">
        <v>18480.609323070035</v>
      </c>
      <c r="C313" s="160">
        <v>20621.586144547193</v>
      </c>
      <c r="D313" s="160">
        <v>14803.306859205775</v>
      </c>
      <c r="E313" s="160">
        <v>27058.609386281587</v>
      </c>
      <c r="F313" s="160">
        <v>11349.095925734915</v>
      </c>
      <c r="G313" s="160">
        <v>13208.099948427025</v>
      </c>
      <c r="H313" s="160">
        <v>7067.0441464672513</v>
      </c>
      <c r="I313" s="160">
        <v>14595.589272821042</v>
      </c>
      <c r="J313" s="160">
        <v>0</v>
      </c>
      <c r="K313" s="160">
        <v>0</v>
      </c>
      <c r="L313" s="160">
        <f t="shared" si="8"/>
        <v>10340.011250895597</v>
      </c>
      <c r="M313" s="160">
        <f t="shared" si="9"/>
        <v>15096.776950415369</v>
      </c>
    </row>
    <row r="314" spans="1:13" x14ac:dyDescent="0.2">
      <c r="A314" s="160" t="s">
        <v>247</v>
      </c>
      <c r="B314" s="160">
        <v>1216</v>
      </c>
      <c r="C314" s="160">
        <v>2150</v>
      </c>
      <c r="D314" s="160">
        <v>1438</v>
      </c>
      <c r="E314" s="160">
        <v>1483</v>
      </c>
      <c r="F314" s="160">
        <v>2893</v>
      </c>
      <c r="G314" s="160">
        <v>16529</v>
      </c>
      <c r="H314" s="160">
        <v>609</v>
      </c>
      <c r="I314" s="160">
        <v>781</v>
      </c>
      <c r="J314" s="160">
        <v>233</v>
      </c>
      <c r="K314" s="160">
        <v>291</v>
      </c>
      <c r="L314" s="160">
        <f t="shared" si="8"/>
        <v>1277.8</v>
      </c>
      <c r="M314" s="160">
        <f t="shared" si="9"/>
        <v>4246.8</v>
      </c>
    </row>
    <row r="315" spans="1:13" x14ac:dyDescent="0.2">
      <c r="A315" s="160" t="s">
        <v>505</v>
      </c>
      <c r="B315" s="160">
        <v>5511</v>
      </c>
      <c r="C315" s="160">
        <v>5626</v>
      </c>
      <c r="D315" s="160">
        <v>19873</v>
      </c>
      <c r="E315" s="160">
        <v>21089</v>
      </c>
      <c r="F315" s="160">
        <v>2151</v>
      </c>
      <c r="G315" s="160">
        <v>5883</v>
      </c>
      <c r="H315" s="160">
        <v>7885</v>
      </c>
      <c r="I315" s="160">
        <v>7742</v>
      </c>
      <c r="J315" s="160">
        <v>2557</v>
      </c>
      <c r="K315" s="160">
        <v>2556</v>
      </c>
      <c r="L315" s="160">
        <f t="shared" ref="L315:L376" si="10">SUM(B315,D315,F315,H315,J315)/5</f>
        <v>7595.4</v>
      </c>
      <c r="M315" s="160">
        <f t="shared" ref="M315:M376" si="11">SUM(C315,E315,G315,I315,K315)/5</f>
        <v>8579.2000000000007</v>
      </c>
    </row>
    <row r="316" spans="1:13" x14ac:dyDescent="0.2">
      <c r="A316" s="160" t="s">
        <v>270</v>
      </c>
      <c r="B316" s="160">
        <v>0</v>
      </c>
      <c r="C316" s="160">
        <v>23</v>
      </c>
      <c r="D316" s="160">
        <v>97</v>
      </c>
      <c r="E316" s="160">
        <v>20</v>
      </c>
      <c r="F316" s="160">
        <v>0</v>
      </c>
      <c r="G316" s="160">
        <v>25</v>
      </c>
      <c r="H316" s="160">
        <v>0</v>
      </c>
      <c r="I316" s="160">
        <v>0</v>
      </c>
      <c r="J316" s="160">
        <v>0</v>
      </c>
      <c r="K316" s="160">
        <v>0</v>
      </c>
      <c r="L316" s="160">
        <f t="shared" si="10"/>
        <v>19.399999999999999</v>
      </c>
      <c r="M316" s="160">
        <f t="shared" si="11"/>
        <v>13.6</v>
      </c>
    </row>
    <row r="317" spans="1:13" x14ac:dyDescent="0.2">
      <c r="A317" s="160" t="s">
        <v>421</v>
      </c>
      <c r="B317" s="160">
        <v>2408</v>
      </c>
      <c r="C317" s="160">
        <v>3061</v>
      </c>
      <c r="D317" s="160">
        <v>1906</v>
      </c>
      <c r="E317" s="160">
        <v>2465</v>
      </c>
      <c r="F317" s="160">
        <v>471</v>
      </c>
      <c r="G317" s="160">
        <v>1003</v>
      </c>
      <c r="H317" s="160">
        <v>1486</v>
      </c>
      <c r="I317" s="160">
        <v>946</v>
      </c>
      <c r="J317" s="160">
        <v>72</v>
      </c>
      <c r="K317" s="160">
        <v>78</v>
      </c>
      <c r="L317" s="160">
        <f t="shared" si="10"/>
        <v>1268.5999999999999</v>
      </c>
      <c r="M317" s="160">
        <f t="shared" si="11"/>
        <v>1510.6</v>
      </c>
    </row>
    <row r="318" spans="1:13" x14ac:dyDescent="0.2">
      <c r="A318" s="160" t="s">
        <v>483</v>
      </c>
      <c r="B318" s="160">
        <v>5890</v>
      </c>
      <c r="C318" s="160">
        <v>5923</v>
      </c>
      <c r="D318" s="160">
        <v>2116</v>
      </c>
      <c r="E318" s="160">
        <v>2194</v>
      </c>
      <c r="F318" s="160">
        <v>4551</v>
      </c>
      <c r="G318" s="160">
        <v>5605</v>
      </c>
      <c r="H318" s="160">
        <v>4920</v>
      </c>
      <c r="I318" s="160">
        <v>6308</v>
      </c>
      <c r="J318" s="160">
        <v>6379</v>
      </c>
      <c r="K318" s="160">
        <v>6736</v>
      </c>
      <c r="L318" s="160">
        <f t="shared" si="10"/>
        <v>4771.2</v>
      </c>
      <c r="M318" s="160">
        <f t="shared" si="11"/>
        <v>5353.2</v>
      </c>
    </row>
    <row r="319" spans="1:13" x14ac:dyDescent="0.2">
      <c r="A319" s="160" t="s">
        <v>506</v>
      </c>
      <c r="B319" s="160">
        <v>15571</v>
      </c>
      <c r="C319" s="160">
        <v>14645</v>
      </c>
      <c r="D319" s="160">
        <v>10008</v>
      </c>
      <c r="E319" s="160">
        <v>12539</v>
      </c>
      <c r="F319" s="160">
        <v>5518</v>
      </c>
      <c r="G319" s="160">
        <v>8265</v>
      </c>
      <c r="H319" s="160">
        <v>7924</v>
      </c>
      <c r="I319" s="160">
        <v>9009</v>
      </c>
      <c r="J319" s="160">
        <v>2816</v>
      </c>
      <c r="K319" s="160">
        <v>3389</v>
      </c>
      <c r="L319" s="160">
        <f t="shared" si="10"/>
        <v>8367.4</v>
      </c>
      <c r="M319" s="160">
        <f t="shared" si="11"/>
        <v>9569.4</v>
      </c>
    </row>
    <row r="320" spans="1:13" x14ac:dyDescent="0.2">
      <c r="A320" s="160" t="s">
        <v>343</v>
      </c>
      <c r="B320" s="160">
        <v>7261</v>
      </c>
      <c r="C320" s="160">
        <v>6345</v>
      </c>
      <c r="D320" s="160">
        <v>4382</v>
      </c>
      <c r="E320" s="160">
        <v>5158</v>
      </c>
      <c r="F320" s="160">
        <v>2817</v>
      </c>
      <c r="G320" s="160">
        <v>4389</v>
      </c>
      <c r="H320" s="160">
        <v>10580</v>
      </c>
      <c r="I320" s="160">
        <v>12134</v>
      </c>
      <c r="J320" s="160">
        <v>2611</v>
      </c>
      <c r="K320" s="160">
        <v>3707</v>
      </c>
      <c r="L320" s="160">
        <f t="shared" si="10"/>
        <v>5530.2</v>
      </c>
      <c r="M320" s="160">
        <f t="shared" si="11"/>
        <v>6346.6</v>
      </c>
    </row>
    <row r="321" spans="1:13" x14ac:dyDescent="0.2">
      <c r="A321" s="160" t="s">
        <v>562</v>
      </c>
      <c r="B321" s="160">
        <v>64950</v>
      </c>
      <c r="C321" s="160">
        <v>97594</v>
      </c>
      <c r="D321" s="160">
        <v>82292</v>
      </c>
      <c r="E321" s="160">
        <v>81184</v>
      </c>
      <c r="F321" s="160">
        <v>-41120</v>
      </c>
      <c r="G321" s="160">
        <v>98655</v>
      </c>
      <c r="H321" s="160">
        <v>96403</v>
      </c>
      <c r="I321" s="160">
        <v>59947</v>
      </c>
      <c r="J321" s="160">
        <v>63573</v>
      </c>
      <c r="K321" s="160">
        <v>61421</v>
      </c>
      <c r="L321" s="160">
        <f t="shared" si="10"/>
        <v>53219.6</v>
      </c>
      <c r="M321" s="160">
        <f t="shared" si="11"/>
        <v>79760.2</v>
      </c>
    </row>
    <row r="322" spans="1:13" x14ac:dyDescent="0.2">
      <c r="A322" s="160" t="s">
        <v>293</v>
      </c>
      <c r="B322" s="160">
        <v>1853</v>
      </c>
      <c r="C322" s="160">
        <v>2187</v>
      </c>
      <c r="D322" s="160">
        <v>3586</v>
      </c>
      <c r="E322" s="160">
        <v>3390</v>
      </c>
      <c r="F322" s="160">
        <v>3274</v>
      </c>
      <c r="G322" s="160">
        <v>4952</v>
      </c>
      <c r="H322" s="160">
        <v>2249</v>
      </c>
      <c r="I322" s="160">
        <v>2551</v>
      </c>
      <c r="J322" s="160">
        <v>3101</v>
      </c>
      <c r="K322" s="160">
        <v>2883</v>
      </c>
      <c r="L322" s="160">
        <f t="shared" si="10"/>
        <v>2812.6</v>
      </c>
      <c r="M322" s="160">
        <f t="shared" si="11"/>
        <v>3192.6</v>
      </c>
    </row>
    <row r="323" spans="1:13" x14ac:dyDescent="0.2">
      <c r="A323" s="160" t="s">
        <v>294</v>
      </c>
      <c r="B323" s="160">
        <v>6500</v>
      </c>
      <c r="C323" s="160">
        <v>7833</v>
      </c>
      <c r="D323" s="160">
        <v>7296</v>
      </c>
      <c r="E323" s="160">
        <v>7033</v>
      </c>
      <c r="F323" s="160">
        <v>7331</v>
      </c>
      <c r="G323" s="160">
        <v>10354</v>
      </c>
      <c r="H323" s="160">
        <v>4109</v>
      </c>
      <c r="I323" s="160">
        <v>5315</v>
      </c>
      <c r="J323" s="160">
        <v>2188</v>
      </c>
      <c r="K323" s="160">
        <v>2302</v>
      </c>
      <c r="L323" s="160">
        <f t="shared" si="10"/>
        <v>5484.8</v>
      </c>
      <c r="M323" s="160">
        <f t="shared" si="11"/>
        <v>6567.4</v>
      </c>
    </row>
    <row r="324" spans="1:13" x14ac:dyDescent="0.2">
      <c r="A324" s="160" t="s">
        <v>225</v>
      </c>
      <c r="B324" s="160">
        <v>16881</v>
      </c>
      <c r="C324" s="160">
        <v>20869</v>
      </c>
      <c r="D324" s="160">
        <v>16924</v>
      </c>
      <c r="E324" s="160">
        <v>20788</v>
      </c>
      <c r="F324" s="160">
        <v>16804</v>
      </c>
      <c r="G324" s="160">
        <v>19551</v>
      </c>
      <c r="H324" s="160">
        <v>8651</v>
      </c>
      <c r="I324" s="160">
        <v>14114</v>
      </c>
      <c r="J324" s="160">
        <v>13586</v>
      </c>
      <c r="K324" s="160">
        <v>13986</v>
      </c>
      <c r="L324" s="160">
        <f t="shared" si="10"/>
        <v>14569.2</v>
      </c>
      <c r="M324" s="160">
        <f t="shared" si="11"/>
        <v>17861.599999999999</v>
      </c>
    </row>
    <row r="325" spans="1:13" x14ac:dyDescent="0.2">
      <c r="A325" s="160" t="s">
        <v>271</v>
      </c>
      <c r="B325" s="160">
        <v>7368</v>
      </c>
      <c r="C325" s="160">
        <v>7022</v>
      </c>
      <c r="D325" s="160">
        <v>330</v>
      </c>
      <c r="E325" s="160">
        <v>3249</v>
      </c>
      <c r="F325" s="160">
        <v>4640</v>
      </c>
      <c r="G325" s="160">
        <v>8548</v>
      </c>
      <c r="H325" s="160">
        <v>37</v>
      </c>
      <c r="I325" s="160">
        <v>1707</v>
      </c>
      <c r="J325" s="160">
        <v>200</v>
      </c>
      <c r="K325" s="160">
        <v>800</v>
      </c>
      <c r="L325" s="160">
        <f t="shared" si="10"/>
        <v>2515</v>
      </c>
      <c r="M325" s="160">
        <f t="shared" si="11"/>
        <v>4265.2</v>
      </c>
    </row>
    <row r="326" spans="1:13" x14ac:dyDescent="0.2">
      <c r="A326" s="160" t="s">
        <v>563</v>
      </c>
      <c r="B326" s="160">
        <v>27374</v>
      </c>
      <c r="C326" s="160">
        <v>37051</v>
      </c>
      <c r="D326" s="160">
        <v>15119</v>
      </c>
      <c r="E326" s="160">
        <v>23336</v>
      </c>
      <c r="F326" s="160">
        <v>18390</v>
      </c>
      <c r="G326" s="160">
        <v>19017</v>
      </c>
      <c r="H326" s="160">
        <v>11163</v>
      </c>
      <c r="I326" s="160">
        <v>11108</v>
      </c>
      <c r="J326" s="160">
        <v>6432</v>
      </c>
      <c r="K326" s="160">
        <v>5937</v>
      </c>
      <c r="L326" s="160">
        <f t="shared" si="10"/>
        <v>15695.6</v>
      </c>
      <c r="M326" s="160">
        <f t="shared" si="11"/>
        <v>19289.8</v>
      </c>
    </row>
    <row r="327" spans="1:13" x14ac:dyDescent="0.2">
      <c r="A327" s="160" t="s">
        <v>422</v>
      </c>
      <c r="B327" s="160">
        <v>1196</v>
      </c>
      <c r="C327" s="160">
        <v>1406</v>
      </c>
      <c r="D327" s="160">
        <v>4052</v>
      </c>
      <c r="E327" s="160">
        <v>4484</v>
      </c>
      <c r="F327" s="160">
        <v>979</v>
      </c>
      <c r="G327" s="160">
        <v>4231</v>
      </c>
      <c r="H327" s="160">
        <v>802</v>
      </c>
      <c r="I327" s="160">
        <v>880</v>
      </c>
      <c r="J327" s="160">
        <v>0</v>
      </c>
      <c r="K327" s="160">
        <v>430</v>
      </c>
      <c r="L327" s="160">
        <f t="shared" si="10"/>
        <v>1405.8</v>
      </c>
      <c r="M327" s="160">
        <f t="shared" si="11"/>
        <v>2286.1999999999998</v>
      </c>
    </row>
    <row r="328" spans="1:13" x14ac:dyDescent="0.2">
      <c r="A328" s="160" t="s">
        <v>423</v>
      </c>
      <c r="B328" s="160">
        <v>6815</v>
      </c>
      <c r="C328" s="160">
        <v>6934</v>
      </c>
      <c r="D328" s="160">
        <v>8897</v>
      </c>
      <c r="E328" s="160">
        <v>8953</v>
      </c>
      <c r="F328" s="160">
        <v>5586</v>
      </c>
      <c r="G328" s="160">
        <v>13418</v>
      </c>
      <c r="H328" s="160">
        <v>8332</v>
      </c>
      <c r="I328" s="160">
        <v>11045</v>
      </c>
      <c r="J328" s="160">
        <v>14671</v>
      </c>
      <c r="K328" s="160">
        <v>16226</v>
      </c>
      <c r="L328" s="160">
        <f t="shared" si="10"/>
        <v>8860.2000000000007</v>
      </c>
      <c r="M328" s="160">
        <f t="shared" si="11"/>
        <v>11315.2</v>
      </c>
    </row>
    <row r="329" spans="1:13" x14ac:dyDescent="0.2">
      <c r="A329" s="160" t="s">
        <v>610</v>
      </c>
      <c r="B329" s="160">
        <v>3196</v>
      </c>
      <c r="C329" s="160">
        <v>3334</v>
      </c>
      <c r="D329" s="160">
        <v>3500</v>
      </c>
      <c r="E329" s="160">
        <v>3647</v>
      </c>
      <c r="F329" s="160">
        <v>6038</v>
      </c>
      <c r="G329" s="160">
        <v>5659</v>
      </c>
      <c r="H329" s="160">
        <v>3021</v>
      </c>
      <c r="I329" s="160">
        <v>3359</v>
      </c>
      <c r="J329" s="160">
        <v>2626</v>
      </c>
      <c r="K329" s="160">
        <v>2742</v>
      </c>
      <c r="L329" s="160">
        <f t="shared" si="10"/>
        <v>3676.2</v>
      </c>
      <c r="M329" s="160">
        <f t="shared" si="11"/>
        <v>3748.2</v>
      </c>
    </row>
    <row r="330" spans="1:13" x14ac:dyDescent="0.2">
      <c r="A330" s="160" t="s">
        <v>372</v>
      </c>
      <c r="B330" s="160">
        <v>310500</v>
      </c>
      <c r="C330" s="160">
        <v>268351</v>
      </c>
      <c r="D330" s="160">
        <v>354524</v>
      </c>
      <c r="E330" s="160">
        <v>404172</v>
      </c>
      <c r="F330" s="160">
        <v>279850</v>
      </c>
      <c r="G330" s="160">
        <v>206831</v>
      </c>
      <c r="H330" s="160">
        <v>189077</v>
      </c>
      <c r="I330" s="160">
        <v>163332</v>
      </c>
      <c r="J330" s="160">
        <v>203285</v>
      </c>
      <c r="K330" s="160">
        <v>188600</v>
      </c>
      <c r="L330" s="160">
        <f t="shared" si="10"/>
        <v>267447.2</v>
      </c>
      <c r="M330" s="160">
        <f t="shared" si="11"/>
        <v>246257.2</v>
      </c>
    </row>
    <row r="331" spans="1:13" x14ac:dyDescent="0.2">
      <c r="A331" s="160" t="s">
        <v>373</v>
      </c>
      <c r="B331" s="160">
        <v>2273</v>
      </c>
      <c r="C331" s="160">
        <v>1188</v>
      </c>
      <c r="D331" s="160">
        <v>17532</v>
      </c>
      <c r="E331" s="160">
        <v>15547</v>
      </c>
      <c r="F331" s="160">
        <v>2028</v>
      </c>
      <c r="G331" s="160">
        <v>2314</v>
      </c>
      <c r="H331" s="160">
        <v>1656</v>
      </c>
      <c r="I331" s="160">
        <v>2459</v>
      </c>
      <c r="J331" s="160">
        <v>1603</v>
      </c>
      <c r="K331" s="160">
        <v>896</v>
      </c>
      <c r="L331" s="160">
        <f t="shared" si="10"/>
        <v>5018.3999999999996</v>
      </c>
      <c r="M331" s="160">
        <f t="shared" si="11"/>
        <v>4480.8</v>
      </c>
    </row>
    <row r="332" spans="1:13" x14ac:dyDescent="0.2">
      <c r="A332" s="160" t="s">
        <v>600</v>
      </c>
      <c r="B332" s="160">
        <v>0</v>
      </c>
      <c r="C332" s="160">
        <v>0</v>
      </c>
      <c r="D332" s="160">
        <v>3122</v>
      </c>
      <c r="E332" s="160">
        <v>3122</v>
      </c>
      <c r="F332" s="160">
        <v>0</v>
      </c>
      <c r="G332" s="160">
        <v>0</v>
      </c>
      <c r="H332" s="160">
        <v>0</v>
      </c>
      <c r="I332" s="160">
        <v>0</v>
      </c>
      <c r="J332" s="160">
        <v>0</v>
      </c>
      <c r="K332" s="160">
        <v>0</v>
      </c>
      <c r="L332" s="160">
        <f t="shared" si="10"/>
        <v>624.4</v>
      </c>
      <c r="M332" s="160">
        <f t="shared" si="11"/>
        <v>624.4</v>
      </c>
    </row>
    <row r="333" spans="1:13" x14ac:dyDescent="0.2">
      <c r="A333" s="160" t="s">
        <v>601</v>
      </c>
      <c r="B333" s="160">
        <v>0</v>
      </c>
      <c r="C333" s="160">
        <v>305</v>
      </c>
      <c r="D333" s="160">
        <v>7108</v>
      </c>
      <c r="E333" s="160">
        <v>7110</v>
      </c>
      <c r="F333" s="160">
        <v>1708</v>
      </c>
      <c r="G333" s="160">
        <v>3576</v>
      </c>
      <c r="H333" s="160">
        <v>1405</v>
      </c>
      <c r="I333" s="160">
        <v>2290</v>
      </c>
      <c r="J333" s="160">
        <v>0</v>
      </c>
      <c r="K333" s="160">
        <v>200</v>
      </c>
      <c r="L333" s="160">
        <f t="shared" si="10"/>
        <v>2044.2</v>
      </c>
      <c r="M333" s="160">
        <f t="shared" si="11"/>
        <v>2696.2</v>
      </c>
    </row>
    <row r="334" spans="1:13" x14ac:dyDescent="0.2">
      <c r="A334" s="160" t="s">
        <v>564</v>
      </c>
      <c r="B334" s="160">
        <v>9083</v>
      </c>
      <c r="C334" s="160">
        <v>7803</v>
      </c>
      <c r="D334" s="160">
        <v>5087</v>
      </c>
      <c r="E334" s="160">
        <v>5088</v>
      </c>
      <c r="F334" s="160">
        <v>5767</v>
      </c>
      <c r="G334" s="160">
        <v>9187</v>
      </c>
      <c r="H334" s="160">
        <v>4816</v>
      </c>
      <c r="I334" s="160">
        <v>7264</v>
      </c>
      <c r="J334" s="160">
        <v>4073</v>
      </c>
      <c r="K334" s="160">
        <v>4072</v>
      </c>
      <c r="L334" s="160">
        <f t="shared" si="10"/>
        <v>5765.2</v>
      </c>
      <c r="M334" s="160">
        <f t="shared" si="11"/>
        <v>6682.8</v>
      </c>
    </row>
    <row r="335" spans="1:13" x14ac:dyDescent="0.2">
      <c r="A335" s="160" t="s">
        <v>248</v>
      </c>
      <c r="B335" s="160">
        <v>11076</v>
      </c>
      <c r="C335" s="160">
        <v>12047</v>
      </c>
      <c r="D335" s="160">
        <v>7522</v>
      </c>
      <c r="E335" s="160">
        <v>11948</v>
      </c>
      <c r="F335" s="160">
        <v>53087</v>
      </c>
      <c r="G335" s="160">
        <v>24950</v>
      </c>
      <c r="H335" s="160">
        <v>1380</v>
      </c>
      <c r="I335" s="160">
        <v>6960</v>
      </c>
      <c r="J335" s="160">
        <v>66</v>
      </c>
      <c r="K335" s="160">
        <v>-82</v>
      </c>
      <c r="L335" s="160">
        <f t="shared" si="10"/>
        <v>14626.2</v>
      </c>
      <c r="M335" s="160">
        <f t="shared" si="11"/>
        <v>11164.6</v>
      </c>
    </row>
    <row r="336" spans="1:13" x14ac:dyDescent="0.2">
      <c r="A336" s="160" t="s">
        <v>374</v>
      </c>
      <c r="B336" s="160">
        <v>40284</v>
      </c>
      <c r="C336" s="160">
        <v>39577</v>
      </c>
      <c r="D336" s="160">
        <v>45177</v>
      </c>
      <c r="E336" s="160">
        <v>47639</v>
      </c>
      <c r="F336" s="160">
        <v>22887</v>
      </c>
      <c r="G336" s="160">
        <v>27095</v>
      </c>
      <c r="H336" s="160">
        <v>20881</v>
      </c>
      <c r="I336" s="160">
        <v>20637</v>
      </c>
      <c r="J336" s="160">
        <v>9699</v>
      </c>
      <c r="K336" s="160">
        <v>9700</v>
      </c>
      <c r="L336" s="160">
        <f t="shared" si="10"/>
        <v>27785.599999999999</v>
      </c>
      <c r="M336" s="160">
        <f t="shared" si="11"/>
        <v>28929.599999999999</v>
      </c>
    </row>
    <row r="337" spans="1:13" x14ac:dyDescent="0.2">
      <c r="A337" s="160" t="s">
        <v>507</v>
      </c>
      <c r="B337" s="160">
        <v>3674</v>
      </c>
      <c r="C337" s="160">
        <v>3699</v>
      </c>
      <c r="D337" s="160">
        <v>7452</v>
      </c>
      <c r="E337" s="160">
        <v>6148</v>
      </c>
      <c r="F337" s="160">
        <v>4202</v>
      </c>
      <c r="G337" s="160">
        <v>5752</v>
      </c>
      <c r="H337" s="160">
        <v>8462</v>
      </c>
      <c r="I337" s="160">
        <v>7551</v>
      </c>
      <c r="J337" s="160">
        <v>5500</v>
      </c>
      <c r="K337" s="160">
        <v>5610</v>
      </c>
      <c r="L337" s="160">
        <f t="shared" si="10"/>
        <v>5858</v>
      </c>
      <c r="M337" s="160">
        <f t="shared" si="11"/>
        <v>5752</v>
      </c>
    </row>
    <row r="338" spans="1:13" x14ac:dyDescent="0.2">
      <c r="A338" s="160" t="s">
        <v>565</v>
      </c>
      <c r="B338" s="160">
        <v>32109</v>
      </c>
      <c r="C338" s="160">
        <v>32288</v>
      </c>
      <c r="D338" s="160">
        <v>22540</v>
      </c>
      <c r="E338" s="160">
        <v>22781</v>
      </c>
      <c r="F338" s="160">
        <v>7361</v>
      </c>
      <c r="G338" s="160">
        <v>17391</v>
      </c>
      <c r="H338" s="160">
        <v>30633</v>
      </c>
      <c r="I338" s="160">
        <v>29346</v>
      </c>
      <c r="J338" s="160">
        <v>24768</v>
      </c>
      <c r="K338" s="160">
        <v>24875</v>
      </c>
      <c r="L338" s="160">
        <f t="shared" si="10"/>
        <v>23482.2</v>
      </c>
      <c r="M338" s="160">
        <f t="shared" si="11"/>
        <v>25336.2</v>
      </c>
    </row>
    <row r="339" spans="1:13" x14ac:dyDescent="0.2">
      <c r="A339" s="160" t="s">
        <v>566</v>
      </c>
      <c r="B339" s="160">
        <v>15727</v>
      </c>
      <c r="C339" s="160">
        <v>19040</v>
      </c>
      <c r="D339" s="160">
        <v>9540</v>
      </c>
      <c r="E339" s="160">
        <v>26340</v>
      </c>
      <c r="F339" s="160">
        <v>12667</v>
      </c>
      <c r="G339" s="160">
        <v>21209</v>
      </c>
      <c r="H339" s="160">
        <v>10357</v>
      </c>
      <c r="I339" s="160">
        <v>2734</v>
      </c>
      <c r="J339" s="160">
        <v>15793</v>
      </c>
      <c r="K339" s="160">
        <v>15828</v>
      </c>
      <c r="L339" s="160">
        <f t="shared" si="10"/>
        <v>12816.8</v>
      </c>
      <c r="M339" s="160">
        <f t="shared" si="11"/>
        <v>17030.2</v>
      </c>
    </row>
    <row r="340" spans="1:13" x14ac:dyDescent="0.2">
      <c r="A340" s="160" t="s">
        <v>424</v>
      </c>
      <c r="B340" s="160">
        <v>10623</v>
      </c>
      <c r="C340" s="160">
        <v>9395</v>
      </c>
      <c r="D340" s="160">
        <v>9782</v>
      </c>
      <c r="E340" s="160">
        <v>11876</v>
      </c>
      <c r="F340" s="160">
        <v>8708</v>
      </c>
      <c r="G340" s="160">
        <v>10040</v>
      </c>
      <c r="H340" s="160">
        <v>6582</v>
      </c>
      <c r="I340" s="160">
        <v>6342</v>
      </c>
      <c r="J340" s="160">
        <v>5918</v>
      </c>
      <c r="K340" s="160">
        <v>5506</v>
      </c>
      <c r="L340" s="160">
        <f t="shared" si="10"/>
        <v>8322.6</v>
      </c>
      <c r="M340" s="160">
        <f t="shared" si="11"/>
        <v>8631.7999999999993</v>
      </c>
    </row>
    <row r="341" spans="1:13" x14ac:dyDescent="0.2">
      <c r="A341" s="160" t="s">
        <v>602</v>
      </c>
      <c r="B341" s="160">
        <v>61444</v>
      </c>
      <c r="C341" s="160">
        <v>64222</v>
      </c>
      <c r="D341" s="160">
        <v>59224</v>
      </c>
      <c r="E341" s="160">
        <v>66384</v>
      </c>
      <c r="F341" s="160">
        <v>123420</v>
      </c>
      <c r="G341" s="160">
        <v>142287</v>
      </c>
      <c r="H341" s="160">
        <v>16263</v>
      </c>
      <c r="I341" s="160">
        <v>17799</v>
      </c>
      <c r="J341" s="160">
        <v>33268</v>
      </c>
      <c r="K341" s="160">
        <v>33482</v>
      </c>
      <c r="L341" s="160">
        <f t="shared" si="10"/>
        <v>58723.8</v>
      </c>
      <c r="M341" s="160">
        <f t="shared" si="11"/>
        <v>64834.8</v>
      </c>
    </row>
    <row r="342" spans="1:13" x14ac:dyDescent="0.2">
      <c r="A342" s="160" t="s">
        <v>603</v>
      </c>
      <c r="B342" s="160">
        <v>18639</v>
      </c>
      <c r="C342" s="160">
        <v>21931</v>
      </c>
      <c r="D342" s="160">
        <v>21446</v>
      </c>
      <c r="E342" s="160">
        <v>25453</v>
      </c>
      <c r="F342" s="160">
        <v>20896</v>
      </c>
      <c r="G342" s="160">
        <v>19965</v>
      </c>
      <c r="H342" s="160">
        <v>25184</v>
      </c>
      <c r="I342" s="160">
        <v>25202</v>
      </c>
      <c r="J342" s="160">
        <v>20334</v>
      </c>
      <c r="K342" s="160">
        <v>19846</v>
      </c>
      <c r="L342" s="160">
        <f t="shared" si="10"/>
        <v>21299.8</v>
      </c>
      <c r="M342" s="160">
        <f t="shared" si="11"/>
        <v>22479.4</v>
      </c>
    </row>
    <row r="343" spans="1:13" x14ac:dyDescent="0.2">
      <c r="A343" s="160" t="s">
        <v>375</v>
      </c>
      <c r="B343" s="160">
        <v>7368</v>
      </c>
      <c r="C343" s="160">
        <v>8073</v>
      </c>
      <c r="D343" s="160">
        <v>22614</v>
      </c>
      <c r="E343" s="160">
        <v>20358</v>
      </c>
      <c r="F343" s="160">
        <v>683</v>
      </c>
      <c r="G343" s="160">
        <v>1668</v>
      </c>
      <c r="H343" s="160">
        <v>5733</v>
      </c>
      <c r="I343" s="160">
        <v>4943</v>
      </c>
      <c r="J343" s="160">
        <v>3240</v>
      </c>
      <c r="K343" s="160">
        <v>3241</v>
      </c>
      <c r="L343" s="160">
        <f t="shared" si="10"/>
        <v>7927.6</v>
      </c>
      <c r="M343" s="160">
        <f t="shared" si="11"/>
        <v>7656.6</v>
      </c>
    </row>
    <row r="344" spans="1:13" x14ac:dyDescent="0.2">
      <c r="A344" s="160" t="s">
        <v>484</v>
      </c>
      <c r="B344" s="160">
        <v>55805</v>
      </c>
      <c r="C344" s="160">
        <v>53381</v>
      </c>
      <c r="D344" s="160">
        <v>48940</v>
      </c>
      <c r="E344" s="160">
        <v>58010</v>
      </c>
      <c r="F344" s="160">
        <v>31948</v>
      </c>
      <c r="G344" s="160">
        <v>51939</v>
      </c>
      <c r="H344" s="160">
        <v>22894</v>
      </c>
      <c r="I344" s="160">
        <v>34719</v>
      </c>
      <c r="J344" s="160">
        <v>17465</v>
      </c>
      <c r="K344" s="160">
        <v>20140</v>
      </c>
      <c r="L344" s="160">
        <f t="shared" si="10"/>
        <v>35410.400000000001</v>
      </c>
      <c r="M344" s="160">
        <f t="shared" si="11"/>
        <v>43637.8</v>
      </c>
    </row>
    <row r="345" spans="1:13" x14ac:dyDescent="0.2">
      <c r="A345" s="160" t="s">
        <v>249</v>
      </c>
      <c r="B345" s="160">
        <v>273</v>
      </c>
      <c r="C345" s="160">
        <v>258</v>
      </c>
      <c r="D345" s="160">
        <v>1496</v>
      </c>
      <c r="E345" s="160">
        <v>4432</v>
      </c>
      <c r="F345" s="160">
        <v>907</v>
      </c>
      <c r="G345" s="160">
        <v>1670</v>
      </c>
      <c r="H345" s="160">
        <v>470</v>
      </c>
      <c r="I345" s="160">
        <v>670</v>
      </c>
      <c r="J345" s="160">
        <v>104</v>
      </c>
      <c r="K345" s="160">
        <v>104</v>
      </c>
      <c r="L345" s="160">
        <f t="shared" si="10"/>
        <v>650</v>
      </c>
      <c r="M345" s="160">
        <f t="shared" si="11"/>
        <v>1426.8</v>
      </c>
    </row>
    <row r="346" spans="1:13" x14ac:dyDescent="0.2">
      <c r="A346" s="160" t="s">
        <v>272</v>
      </c>
      <c r="B346" s="160">
        <v>0</v>
      </c>
      <c r="C346" s="160">
        <v>0</v>
      </c>
      <c r="D346" s="160">
        <v>241</v>
      </c>
      <c r="E346" s="160">
        <v>241</v>
      </c>
      <c r="F346" s="160">
        <v>0</v>
      </c>
      <c r="G346" s="160">
        <v>0</v>
      </c>
      <c r="H346" s="160">
        <v>0</v>
      </c>
      <c r="I346" s="160">
        <v>0</v>
      </c>
      <c r="J346" s="160">
        <v>0</v>
      </c>
      <c r="K346" s="160">
        <v>0</v>
      </c>
      <c r="L346" s="160">
        <f t="shared" si="10"/>
        <v>48.2</v>
      </c>
      <c r="M346" s="160">
        <f t="shared" si="11"/>
        <v>48.2</v>
      </c>
    </row>
    <row r="347" spans="1:13" x14ac:dyDescent="0.2">
      <c r="A347" s="160" t="s">
        <v>508</v>
      </c>
      <c r="B347" s="160">
        <v>17919</v>
      </c>
      <c r="C347" s="160">
        <v>19362</v>
      </c>
      <c r="D347" s="160">
        <v>17791</v>
      </c>
      <c r="E347" s="160">
        <v>26570</v>
      </c>
      <c r="F347" s="160">
        <v>15845</v>
      </c>
      <c r="G347" s="160">
        <v>17167</v>
      </c>
      <c r="H347" s="160">
        <v>10545</v>
      </c>
      <c r="I347" s="160">
        <v>12967</v>
      </c>
      <c r="J347" s="160">
        <v>25031</v>
      </c>
      <c r="K347" s="160">
        <v>26003</v>
      </c>
      <c r="L347" s="160">
        <f t="shared" si="10"/>
        <v>17426.2</v>
      </c>
      <c r="M347" s="160">
        <f t="shared" si="11"/>
        <v>20413.8</v>
      </c>
    </row>
    <row r="348" spans="1:13" x14ac:dyDescent="0.2">
      <c r="A348" s="160" t="s">
        <v>604</v>
      </c>
      <c r="B348" s="160">
        <v>1490</v>
      </c>
      <c r="C348" s="160">
        <v>1820</v>
      </c>
      <c r="D348" s="160">
        <v>697</v>
      </c>
      <c r="E348" s="160">
        <v>489</v>
      </c>
      <c r="F348" s="160">
        <v>1273</v>
      </c>
      <c r="G348" s="160">
        <v>815</v>
      </c>
      <c r="H348" s="160">
        <v>1740</v>
      </c>
      <c r="I348" s="160">
        <v>795</v>
      </c>
      <c r="J348" s="160">
        <v>451</v>
      </c>
      <c r="K348" s="160">
        <v>262</v>
      </c>
      <c r="L348" s="160">
        <f t="shared" si="10"/>
        <v>1130.2</v>
      </c>
      <c r="M348" s="160">
        <f t="shared" si="11"/>
        <v>836.2</v>
      </c>
    </row>
    <row r="349" spans="1:13" x14ac:dyDescent="0.2">
      <c r="A349" s="160" t="s">
        <v>486</v>
      </c>
      <c r="B349" s="160">
        <v>6883</v>
      </c>
      <c r="C349" s="160">
        <v>4778</v>
      </c>
      <c r="D349" s="160">
        <v>12093</v>
      </c>
      <c r="E349" s="160">
        <v>17086</v>
      </c>
      <c r="F349" s="160">
        <v>8763</v>
      </c>
      <c r="G349" s="160">
        <v>11495</v>
      </c>
      <c r="H349" s="160">
        <v>8641</v>
      </c>
      <c r="I349" s="160">
        <v>5312</v>
      </c>
      <c r="J349" s="160">
        <v>6604</v>
      </c>
      <c r="K349" s="160">
        <v>6895</v>
      </c>
      <c r="L349" s="160">
        <f t="shared" si="10"/>
        <v>8596.7999999999993</v>
      </c>
      <c r="M349" s="160">
        <f t="shared" si="11"/>
        <v>9113.2000000000007</v>
      </c>
    </row>
    <row r="350" spans="1:13" x14ac:dyDescent="0.2">
      <c r="A350" s="160" t="s">
        <v>345</v>
      </c>
      <c r="B350" s="160">
        <v>12928</v>
      </c>
      <c r="C350" s="160">
        <v>12392</v>
      </c>
      <c r="D350" s="160">
        <v>12646</v>
      </c>
      <c r="E350" s="160">
        <v>14693</v>
      </c>
      <c r="F350" s="160">
        <v>14307</v>
      </c>
      <c r="G350" s="160">
        <v>13882</v>
      </c>
      <c r="H350" s="160">
        <v>6016</v>
      </c>
      <c r="I350" s="160">
        <v>7338</v>
      </c>
      <c r="J350" s="160">
        <v>9491</v>
      </c>
      <c r="K350" s="160">
        <v>9493</v>
      </c>
      <c r="L350" s="160">
        <f t="shared" si="10"/>
        <v>11077.6</v>
      </c>
      <c r="M350" s="160">
        <f t="shared" si="11"/>
        <v>11559.6</v>
      </c>
    </row>
    <row r="351" spans="1:13" x14ac:dyDescent="0.2">
      <c r="A351" s="160" t="s">
        <v>567</v>
      </c>
      <c r="B351" s="160">
        <v>15244</v>
      </c>
      <c r="C351" s="160">
        <v>15475</v>
      </c>
      <c r="D351" s="160">
        <v>16501</v>
      </c>
      <c r="E351" s="160">
        <v>13868</v>
      </c>
      <c r="F351" s="160">
        <v>9371</v>
      </c>
      <c r="G351" s="160">
        <v>9872</v>
      </c>
      <c r="H351" s="160">
        <v>5249</v>
      </c>
      <c r="I351" s="160">
        <v>5830</v>
      </c>
      <c r="J351" s="160">
        <v>7189</v>
      </c>
      <c r="K351" s="160">
        <v>4635</v>
      </c>
      <c r="L351" s="160">
        <f t="shared" si="10"/>
        <v>10710.8</v>
      </c>
      <c r="M351" s="160">
        <f t="shared" si="11"/>
        <v>9936</v>
      </c>
    </row>
    <row r="352" spans="1:13" x14ac:dyDescent="0.2">
      <c r="A352" s="160" t="s">
        <v>568</v>
      </c>
      <c r="B352" s="160">
        <v>2321</v>
      </c>
      <c r="C352" s="160">
        <v>2267</v>
      </c>
      <c r="D352" s="160">
        <v>7058</v>
      </c>
      <c r="E352" s="160">
        <v>6955</v>
      </c>
      <c r="F352" s="160">
        <v>3176</v>
      </c>
      <c r="G352" s="160">
        <v>3265</v>
      </c>
      <c r="H352" s="160">
        <v>1545</v>
      </c>
      <c r="I352" s="160">
        <v>1584</v>
      </c>
      <c r="J352" s="160">
        <v>6953</v>
      </c>
      <c r="K352" s="160">
        <v>6960</v>
      </c>
      <c r="L352" s="160">
        <f t="shared" si="10"/>
        <v>4210.6000000000004</v>
      </c>
      <c r="M352" s="160">
        <f t="shared" si="11"/>
        <v>4206.2</v>
      </c>
    </row>
    <row r="353" spans="1:13" x14ac:dyDescent="0.2">
      <c r="A353" s="160" t="s">
        <v>569</v>
      </c>
      <c r="B353" s="160">
        <v>23729</v>
      </c>
      <c r="C353" s="160">
        <v>28542</v>
      </c>
      <c r="D353" s="160">
        <v>40331</v>
      </c>
      <c r="E353" s="160">
        <v>34665</v>
      </c>
      <c r="F353" s="160">
        <v>31084</v>
      </c>
      <c r="G353" s="160">
        <v>25344</v>
      </c>
      <c r="H353" s="160">
        <v>13714</v>
      </c>
      <c r="I353" s="160">
        <v>17679</v>
      </c>
      <c r="J353" s="160">
        <v>9998</v>
      </c>
      <c r="K353" s="160">
        <v>9302</v>
      </c>
      <c r="L353" s="160">
        <f t="shared" si="10"/>
        <v>23771.200000000001</v>
      </c>
      <c r="M353" s="160">
        <f t="shared" si="11"/>
        <v>23106.400000000001</v>
      </c>
    </row>
    <row r="354" spans="1:13" x14ac:dyDescent="0.2">
      <c r="A354" s="160" t="s">
        <v>487</v>
      </c>
      <c r="B354" s="160">
        <v>13891</v>
      </c>
      <c r="C354" s="160">
        <v>14236</v>
      </c>
      <c r="D354" s="160">
        <v>12335</v>
      </c>
      <c r="E354" s="160">
        <v>12282</v>
      </c>
      <c r="F354" s="160">
        <v>72771</v>
      </c>
      <c r="G354" s="160">
        <v>76617</v>
      </c>
      <c r="H354" s="160">
        <v>29135</v>
      </c>
      <c r="I354" s="160">
        <v>31518</v>
      </c>
      <c r="J354" s="160">
        <v>17224</v>
      </c>
      <c r="K354" s="160">
        <v>17636</v>
      </c>
      <c r="L354" s="160">
        <f t="shared" si="10"/>
        <v>29071.200000000001</v>
      </c>
      <c r="M354" s="160">
        <f t="shared" si="11"/>
        <v>30457.8</v>
      </c>
    </row>
    <row r="355" spans="1:13" x14ac:dyDescent="0.2">
      <c r="A355" s="160" t="s">
        <v>346</v>
      </c>
      <c r="B355" s="160">
        <v>4266</v>
      </c>
      <c r="C355" s="160">
        <v>4758</v>
      </c>
      <c r="D355" s="160">
        <v>7483</v>
      </c>
      <c r="E355" s="160">
        <v>6023</v>
      </c>
      <c r="F355" s="160">
        <v>5603</v>
      </c>
      <c r="G355" s="160">
        <v>6025</v>
      </c>
      <c r="H355" s="160">
        <v>5069</v>
      </c>
      <c r="I355" s="160">
        <v>3579</v>
      </c>
      <c r="J355" s="160">
        <v>3770</v>
      </c>
      <c r="K355" s="160">
        <v>2108</v>
      </c>
      <c r="L355" s="160">
        <f t="shared" si="10"/>
        <v>5238.2</v>
      </c>
      <c r="M355" s="160">
        <f t="shared" si="11"/>
        <v>4498.6000000000004</v>
      </c>
    </row>
    <row r="356" spans="1:13" x14ac:dyDescent="0.2">
      <c r="A356" s="160" t="s">
        <v>488</v>
      </c>
      <c r="B356" s="160">
        <v>462</v>
      </c>
      <c r="C356" s="160">
        <v>756</v>
      </c>
      <c r="D356" s="160">
        <v>9</v>
      </c>
      <c r="E356" s="160">
        <v>1210</v>
      </c>
      <c r="F356" s="160">
        <v>2447</v>
      </c>
      <c r="G356" s="160">
        <v>223</v>
      </c>
      <c r="H356" s="160">
        <v>23</v>
      </c>
      <c r="I356" s="160">
        <v>685</v>
      </c>
      <c r="J356" s="160">
        <v>30</v>
      </c>
      <c r="K356" s="160">
        <v>362</v>
      </c>
      <c r="L356" s="160">
        <f t="shared" si="10"/>
        <v>594.20000000000005</v>
      </c>
      <c r="M356" s="160">
        <f t="shared" si="11"/>
        <v>647.20000000000005</v>
      </c>
    </row>
    <row r="357" spans="1:13" x14ac:dyDescent="0.2">
      <c r="A357" s="160" t="s">
        <v>425</v>
      </c>
      <c r="B357" s="160">
        <v>955</v>
      </c>
      <c r="C357" s="160">
        <v>994</v>
      </c>
      <c r="D357" s="160">
        <v>3270</v>
      </c>
      <c r="E357" s="160">
        <v>2438</v>
      </c>
      <c r="F357" s="160">
        <v>106</v>
      </c>
      <c r="G357" s="160">
        <v>162</v>
      </c>
      <c r="H357" s="160">
        <v>73</v>
      </c>
      <c r="I357" s="160">
        <v>46</v>
      </c>
      <c r="J357" s="160">
        <v>303</v>
      </c>
      <c r="K357" s="160">
        <v>177</v>
      </c>
      <c r="L357" s="160">
        <f t="shared" si="10"/>
        <v>941.4</v>
      </c>
      <c r="M357" s="160">
        <f t="shared" si="11"/>
        <v>763.4</v>
      </c>
    </row>
    <row r="358" spans="1:13" x14ac:dyDescent="0.2">
      <c r="A358" s="160" t="s">
        <v>605</v>
      </c>
      <c r="B358" s="160">
        <v>91607</v>
      </c>
      <c r="C358" s="160">
        <v>91409</v>
      </c>
      <c r="D358" s="160">
        <v>67458</v>
      </c>
      <c r="E358" s="160">
        <v>71459</v>
      </c>
      <c r="F358" s="160">
        <v>58588</v>
      </c>
      <c r="G358" s="160">
        <v>65707</v>
      </c>
      <c r="H358" s="160">
        <v>62436</v>
      </c>
      <c r="I358" s="160">
        <v>62506</v>
      </c>
      <c r="J358" s="160">
        <v>10497</v>
      </c>
      <c r="K358" s="160">
        <v>10452</v>
      </c>
      <c r="L358" s="160">
        <f t="shared" si="10"/>
        <v>58117.2</v>
      </c>
      <c r="M358" s="160">
        <f t="shared" si="11"/>
        <v>60306.6</v>
      </c>
    </row>
    <row r="359" spans="1:13" x14ac:dyDescent="0.2">
      <c r="A359" s="160" t="s">
        <v>426</v>
      </c>
      <c r="B359" s="160">
        <v>2569</v>
      </c>
      <c r="C359" s="160">
        <v>3099</v>
      </c>
      <c r="D359" s="160">
        <v>630</v>
      </c>
      <c r="E359" s="160">
        <v>902</v>
      </c>
      <c r="F359" s="160">
        <v>451</v>
      </c>
      <c r="G359" s="160">
        <v>1337</v>
      </c>
      <c r="H359" s="160">
        <v>1075</v>
      </c>
      <c r="I359" s="160">
        <v>1922</v>
      </c>
      <c r="J359" s="160">
        <v>233</v>
      </c>
      <c r="K359" s="160">
        <v>227</v>
      </c>
      <c r="L359" s="160">
        <f t="shared" si="10"/>
        <v>991.6</v>
      </c>
      <c r="M359" s="160">
        <f t="shared" si="11"/>
        <v>1497.4</v>
      </c>
    </row>
    <row r="360" spans="1:13" x14ac:dyDescent="0.2">
      <c r="A360" s="160" t="s">
        <v>570</v>
      </c>
      <c r="B360" s="160">
        <v>37977</v>
      </c>
      <c r="C360" s="160">
        <v>37610</v>
      </c>
      <c r="D360" s="160">
        <v>19643</v>
      </c>
      <c r="E360" s="160">
        <v>21290</v>
      </c>
      <c r="F360" s="160">
        <v>13627</v>
      </c>
      <c r="G360" s="160">
        <v>15342</v>
      </c>
      <c r="H360" s="160">
        <v>5145</v>
      </c>
      <c r="I360" s="160">
        <v>4908</v>
      </c>
      <c r="J360" s="160">
        <v>3552</v>
      </c>
      <c r="K360" s="160">
        <v>3453</v>
      </c>
      <c r="L360" s="160">
        <f t="shared" si="10"/>
        <v>15988.8</v>
      </c>
      <c r="M360" s="160">
        <f t="shared" si="11"/>
        <v>16520.599999999999</v>
      </c>
    </row>
    <row r="361" spans="1:13" x14ac:dyDescent="0.2">
      <c r="A361" s="160" t="s">
        <v>347</v>
      </c>
      <c r="B361" s="160">
        <v>12282</v>
      </c>
      <c r="C361" s="160">
        <v>12666</v>
      </c>
      <c r="D361" s="160">
        <v>10069</v>
      </c>
      <c r="E361" s="160">
        <v>12018</v>
      </c>
      <c r="F361" s="160">
        <v>11185</v>
      </c>
      <c r="G361" s="160">
        <v>12868</v>
      </c>
      <c r="H361" s="160">
        <v>10491</v>
      </c>
      <c r="I361" s="160">
        <v>10117</v>
      </c>
      <c r="J361" s="160">
        <v>7163</v>
      </c>
      <c r="K361" s="160">
        <v>6623</v>
      </c>
      <c r="L361" s="160">
        <f t="shared" si="10"/>
        <v>10238</v>
      </c>
      <c r="M361" s="160">
        <f t="shared" si="11"/>
        <v>10858.4</v>
      </c>
    </row>
    <row r="362" spans="1:13" x14ac:dyDescent="0.2">
      <c r="A362" s="160" t="s">
        <v>226</v>
      </c>
      <c r="B362" s="160">
        <v>443</v>
      </c>
      <c r="C362" s="160">
        <v>799</v>
      </c>
      <c r="D362" s="160">
        <v>443</v>
      </c>
      <c r="E362" s="160">
        <v>1012</v>
      </c>
      <c r="F362" s="160">
        <v>1170</v>
      </c>
      <c r="G362" s="160">
        <v>1336</v>
      </c>
      <c r="H362" s="160">
        <v>3224</v>
      </c>
      <c r="I362" s="160">
        <v>2950</v>
      </c>
      <c r="J362" s="160">
        <v>337</v>
      </c>
      <c r="K362" s="160">
        <v>260</v>
      </c>
      <c r="L362" s="160">
        <f t="shared" si="10"/>
        <v>1123.4000000000001</v>
      </c>
      <c r="M362" s="160">
        <f t="shared" si="11"/>
        <v>1271.4000000000001</v>
      </c>
    </row>
    <row r="363" spans="1:13" x14ac:dyDescent="0.2">
      <c r="A363" s="160" t="s">
        <v>348</v>
      </c>
      <c r="B363" s="160">
        <v>1098</v>
      </c>
      <c r="C363" s="160">
        <v>1099</v>
      </c>
      <c r="D363" s="160">
        <v>4042</v>
      </c>
      <c r="E363" s="160">
        <v>3948</v>
      </c>
      <c r="F363" s="160">
        <v>543</v>
      </c>
      <c r="G363" s="160">
        <v>693</v>
      </c>
      <c r="H363" s="160">
        <v>896</v>
      </c>
      <c r="I363" s="160">
        <v>1111</v>
      </c>
      <c r="J363" s="160">
        <v>51</v>
      </c>
      <c r="K363" s="160">
        <v>51</v>
      </c>
      <c r="L363" s="160">
        <f t="shared" si="10"/>
        <v>1326</v>
      </c>
      <c r="M363" s="160">
        <f t="shared" si="11"/>
        <v>1380.4</v>
      </c>
    </row>
    <row r="364" spans="1:13" x14ac:dyDescent="0.2">
      <c r="A364" s="160" t="s">
        <v>489</v>
      </c>
      <c r="B364" s="160">
        <v>54291</v>
      </c>
      <c r="C364" s="160">
        <v>86576</v>
      </c>
      <c r="D364" s="160">
        <v>39693</v>
      </c>
      <c r="E364" s="160">
        <v>56863</v>
      </c>
      <c r="F364" s="160">
        <v>28395</v>
      </c>
      <c r="G364" s="160">
        <v>38145</v>
      </c>
      <c r="H364" s="160">
        <v>26523</v>
      </c>
      <c r="I364" s="160">
        <v>30954</v>
      </c>
      <c r="J364" s="160">
        <v>25825</v>
      </c>
      <c r="K364" s="160">
        <v>21182</v>
      </c>
      <c r="L364" s="160">
        <f t="shared" si="10"/>
        <v>34945.4</v>
      </c>
      <c r="M364" s="160">
        <f t="shared" si="11"/>
        <v>46744</v>
      </c>
    </row>
    <row r="365" spans="1:13" x14ac:dyDescent="0.2">
      <c r="A365" s="160" t="s">
        <v>273</v>
      </c>
      <c r="B365" s="160">
        <v>623</v>
      </c>
      <c r="C365" s="160">
        <v>2606</v>
      </c>
      <c r="D365" s="160">
        <v>2425</v>
      </c>
      <c r="E365" s="160">
        <v>2701</v>
      </c>
      <c r="F365" s="160">
        <v>2878</v>
      </c>
      <c r="G365" s="160">
        <v>3559</v>
      </c>
      <c r="H365" s="160">
        <v>2177</v>
      </c>
      <c r="I365" s="160">
        <v>2076</v>
      </c>
      <c r="J365" s="160">
        <v>2329</v>
      </c>
      <c r="K365" s="160">
        <v>2329</v>
      </c>
      <c r="L365" s="160">
        <f t="shared" si="10"/>
        <v>2086.4</v>
      </c>
      <c r="M365" s="160">
        <f t="shared" si="11"/>
        <v>2654.2</v>
      </c>
    </row>
    <row r="366" spans="1:13" x14ac:dyDescent="0.2">
      <c r="A366" s="160" t="s">
        <v>490</v>
      </c>
      <c r="B366" s="160">
        <v>11553</v>
      </c>
      <c r="C366" s="160">
        <v>15672</v>
      </c>
      <c r="D366" s="160">
        <v>14182</v>
      </c>
      <c r="E366" s="160">
        <v>14077</v>
      </c>
      <c r="F366" s="160">
        <v>6320</v>
      </c>
      <c r="G366" s="160">
        <v>7779</v>
      </c>
      <c r="H366" s="160">
        <v>10348</v>
      </c>
      <c r="I366" s="160">
        <v>9486</v>
      </c>
      <c r="J366" s="160">
        <v>3055</v>
      </c>
      <c r="K366" s="160">
        <v>3403</v>
      </c>
      <c r="L366" s="160">
        <f t="shared" si="10"/>
        <v>9091.6</v>
      </c>
      <c r="M366" s="160">
        <f t="shared" si="11"/>
        <v>10083.4</v>
      </c>
    </row>
    <row r="367" spans="1:13" x14ac:dyDescent="0.2">
      <c r="A367" s="160" t="s">
        <v>295</v>
      </c>
      <c r="B367" s="160">
        <v>6208</v>
      </c>
      <c r="C367" s="160">
        <v>7976</v>
      </c>
      <c r="D367" s="160">
        <v>5717</v>
      </c>
      <c r="E367" s="160">
        <v>5534</v>
      </c>
      <c r="F367" s="160">
        <v>5597</v>
      </c>
      <c r="G367" s="160">
        <v>6529</v>
      </c>
      <c r="H367" s="160">
        <v>3941</v>
      </c>
      <c r="I367" s="160">
        <v>9675</v>
      </c>
      <c r="J367" s="160">
        <v>4302</v>
      </c>
      <c r="K367" s="160">
        <v>4574</v>
      </c>
      <c r="L367" s="160">
        <f t="shared" si="10"/>
        <v>5153</v>
      </c>
      <c r="M367" s="160">
        <f t="shared" si="11"/>
        <v>6857.6</v>
      </c>
    </row>
    <row r="368" spans="1:13" x14ac:dyDescent="0.2">
      <c r="A368" s="160" t="s">
        <v>349</v>
      </c>
      <c r="B368" s="160">
        <v>5290</v>
      </c>
      <c r="C368" s="160">
        <v>4124</v>
      </c>
      <c r="D368" s="160">
        <v>6790</v>
      </c>
      <c r="E368" s="160">
        <v>6643</v>
      </c>
      <c r="F368" s="160">
        <v>1575</v>
      </c>
      <c r="G368" s="160">
        <v>3711</v>
      </c>
      <c r="H368" s="160">
        <v>1820</v>
      </c>
      <c r="I368" s="160">
        <v>1403</v>
      </c>
      <c r="J368" s="160">
        <v>2557</v>
      </c>
      <c r="K368" s="160">
        <v>2462</v>
      </c>
      <c r="L368" s="160">
        <f t="shared" si="10"/>
        <v>3606.4</v>
      </c>
      <c r="M368" s="160">
        <f t="shared" si="11"/>
        <v>3668.6</v>
      </c>
    </row>
    <row r="369" spans="1:13" x14ac:dyDescent="0.2">
      <c r="A369" s="160" t="s">
        <v>427</v>
      </c>
      <c r="B369" s="160">
        <v>1842</v>
      </c>
      <c r="C369" s="160">
        <v>1817</v>
      </c>
      <c r="D369" s="160">
        <v>2672</v>
      </c>
      <c r="E369" s="160">
        <v>4600</v>
      </c>
      <c r="F369" s="160">
        <v>2210</v>
      </c>
      <c r="G369" s="160">
        <v>5437</v>
      </c>
      <c r="H369" s="160">
        <v>700</v>
      </c>
      <c r="I369" s="160">
        <v>1744</v>
      </c>
      <c r="J369" s="160">
        <v>9512</v>
      </c>
      <c r="K369" s="160">
        <v>9514</v>
      </c>
      <c r="L369" s="160">
        <f t="shared" si="10"/>
        <v>3387.2</v>
      </c>
      <c r="M369" s="160">
        <f t="shared" si="11"/>
        <v>4622.3999999999996</v>
      </c>
    </row>
    <row r="370" spans="1:13" x14ac:dyDescent="0.2">
      <c r="A370" s="160" t="s">
        <v>376</v>
      </c>
      <c r="B370" s="160">
        <v>5360</v>
      </c>
      <c r="C370" s="160">
        <v>6832</v>
      </c>
      <c r="D370" s="160">
        <v>5461</v>
      </c>
      <c r="E370" s="160">
        <v>5700</v>
      </c>
      <c r="F370" s="160">
        <v>6683</v>
      </c>
      <c r="G370" s="160">
        <v>6985</v>
      </c>
      <c r="H370" s="160">
        <v>4349</v>
      </c>
      <c r="I370" s="160">
        <v>4342</v>
      </c>
      <c r="J370" s="160">
        <v>3380</v>
      </c>
      <c r="K370" s="160">
        <v>3380</v>
      </c>
      <c r="L370" s="160">
        <f t="shared" si="10"/>
        <v>5046.6000000000004</v>
      </c>
      <c r="M370" s="160">
        <f t="shared" si="11"/>
        <v>5447.8</v>
      </c>
    </row>
    <row r="371" spans="1:13" x14ac:dyDescent="0.2">
      <c r="A371" s="160" t="s">
        <v>250</v>
      </c>
      <c r="B371" s="160">
        <v>268</v>
      </c>
      <c r="C371" s="160">
        <v>181</v>
      </c>
      <c r="D371" s="160">
        <v>124</v>
      </c>
      <c r="E371" s="160">
        <v>104</v>
      </c>
      <c r="F371" s="160">
        <v>0</v>
      </c>
      <c r="G371" s="160">
        <v>181</v>
      </c>
      <c r="H371" s="160">
        <v>103</v>
      </c>
      <c r="I371" s="160">
        <v>181</v>
      </c>
      <c r="J371" s="160">
        <v>65</v>
      </c>
      <c r="K371" s="160">
        <v>138</v>
      </c>
      <c r="L371" s="160">
        <f t="shared" si="10"/>
        <v>112</v>
      </c>
      <c r="M371" s="160">
        <f t="shared" si="11"/>
        <v>157</v>
      </c>
    </row>
    <row r="372" spans="1:13" x14ac:dyDescent="0.2">
      <c r="A372" s="160" t="s">
        <v>350</v>
      </c>
      <c r="B372" s="160">
        <v>5069</v>
      </c>
      <c r="C372" s="160">
        <v>5082</v>
      </c>
      <c r="D372" s="160">
        <v>5772</v>
      </c>
      <c r="E372" s="160">
        <v>7593</v>
      </c>
      <c r="F372" s="160">
        <v>4184</v>
      </c>
      <c r="G372" s="160">
        <v>3250</v>
      </c>
      <c r="H372" s="160">
        <v>1565</v>
      </c>
      <c r="I372" s="160">
        <v>1755</v>
      </c>
      <c r="J372" s="160">
        <v>4711</v>
      </c>
      <c r="K372" s="160">
        <v>4407</v>
      </c>
      <c r="L372" s="160">
        <f t="shared" si="10"/>
        <v>4260.2</v>
      </c>
      <c r="M372" s="160">
        <f t="shared" si="11"/>
        <v>4417.3999999999996</v>
      </c>
    </row>
    <row r="373" spans="1:13" x14ac:dyDescent="0.2">
      <c r="A373" s="160" t="s">
        <v>571</v>
      </c>
      <c r="B373" s="160">
        <v>1782</v>
      </c>
      <c r="C373" s="160">
        <v>1307</v>
      </c>
      <c r="D373" s="160">
        <v>1527</v>
      </c>
      <c r="E373" s="160">
        <v>858</v>
      </c>
      <c r="F373" s="160">
        <v>1076</v>
      </c>
      <c r="G373" s="160">
        <v>400</v>
      </c>
      <c r="H373" s="160">
        <v>4180</v>
      </c>
      <c r="I373" s="160">
        <v>2627</v>
      </c>
      <c r="J373" s="160">
        <v>635</v>
      </c>
      <c r="K373" s="160">
        <v>678</v>
      </c>
      <c r="L373" s="160">
        <f t="shared" si="10"/>
        <v>1840</v>
      </c>
      <c r="M373" s="160">
        <f t="shared" si="11"/>
        <v>1174</v>
      </c>
    </row>
    <row r="374" spans="1:13" x14ac:dyDescent="0.2">
      <c r="A374" s="160" t="s">
        <v>377</v>
      </c>
      <c r="B374" s="160">
        <v>18899</v>
      </c>
      <c r="C374" s="160">
        <v>12126</v>
      </c>
      <c r="D374" s="160">
        <v>14152</v>
      </c>
      <c r="E374" s="160">
        <v>13473</v>
      </c>
      <c r="F374" s="160">
        <v>8319</v>
      </c>
      <c r="G374" s="160">
        <v>8210</v>
      </c>
      <c r="H374" s="160">
        <v>4770</v>
      </c>
      <c r="I374" s="160">
        <v>7686</v>
      </c>
      <c r="J374" s="160">
        <v>1046</v>
      </c>
      <c r="K374" s="160">
        <v>846</v>
      </c>
      <c r="L374" s="160">
        <f t="shared" si="10"/>
        <v>9437.2000000000007</v>
      </c>
      <c r="M374" s="160">
        <f t="shared" si="11"/>
        <v>8468.2000000000007</v>
      </c>
    </row>
    <row r="375" spans="1:13" x14ac:dyDescent="0.2">
      <c r="A375" s="160" t="s">
        <v>428</v>
      </c>
      <c r="B375" s="160">
        <v>1005</v>
      </c>
      <c r="C375" s="160">
        <v>1117</v>
      </c>
      <c r="D375" s="160">
        <v>260</v>
      </c>
      <c r="E375" s="160">
        <v>314</v>
      </c>
      <c r="F375" s="160">
        <v>664</v>
      </c>
      <c r="G375" s="160">
        <v>686</v>
      </c>
      <c r="H375" s="160">
        <v>983</v>
      </c>
      <c r="I375" s="160">
        <v>671</v>
      </c>
      <c r="J375" s="160">
        <v>92</v>
      </c>
      <c r="K375" s="160">
        <v>129</v>
      </c>
      <c r="L375" s="160">
        <f t="shared" si="10"/>
        <v>600.79999999999995</v>
      </c>
      <c r="M375" s="160">
        <f t="shared" si="11"/>
        <v>583.4</v>
      </c>
    </row>
    <row r="376" spans="1:13" x14ac:dyDescent="0.2">
      <c r="A376" s="160" t="s">
        <v>378</v>
      </c>
      <c r="B376" s="160">
        <v>8313</v>
      </c>
      <c r="C376" s="160">
        <v>8165</v>
      </c>
      <c r="D376" s="160">
        <v>25059</v>
      </c>
      <c r="E376" s="160">
        <v>24309</v>
      </c>
      <c r="F376" s="160">
        <v>6909</v>
      </c>
      <c r="G376" s="160">
        <v>6408</v>
      </c>
      <c r="H376" s="160">
        <v>4524</v>
      </c>
      <c r="I376" s="160">
        <v>4548</v>
      </c>
      <c r="J376" s="160">
        <v>14895</v>
      </c>
      <c r="K376" s="160">
        <v>14570</v>
      </c>
      <c r="L376" s="160">
        <f t="shared" si="10"/>
        <v>11940</v>
      </c>
      <c r="M376" s="160">
        <f t="shared" si="11"/>
        <v>11600</v>
      </c>
    </row>
    <row r="377" spans="1:13" x14ac:dyDescent="0.2">
      <c r="A377" s="160" t="s">
        <v>572</v>
      </c>
      <c r="B377" s="160">
        <v>3492</v>
      </c>
      <c r="C377" s="160">
        <v>3688</v>
      </c>
      <c r="D377" s="160">
        <v>4784</v>
      </c>
      <c r="E377" s="160">
        <v>4408</v>
      </c>
      <c r="F377" s="160">
        <v>4145</v>
      </c>
      <c r="G377" s="160">
        <v>4335</v>
      </c>
      <c r="H377" s="160">
        <v>2889</v>
      </c>
      <c r="I377" s="160">
        <v>3689</v>
      </c>
      <c r="J377" s="160">
        <v>7307</v>
      </c>
      <c r="K377" s="160">
        <v>6117</v>
      </c>
      <c r="L377" s="160">
        <f t="shared" ref="L377:L394" si="12">SUM(B377,D377,F377,H377,J377)/5</f>
        <v>4523.3999999999996</v>
      </c>
      <c r="M377" s="160">
        <f t="shared" ref="M377:M394" si="13">SUM(C377,E377,G377,I377,K377)/5</f>
        <v>4447.3999999999996</v>
      </c>
    </row>
    <row r="378" spans="1:13" x14ac:dyDescent="0.2">
      <c r="A378" s="160" t="s">
        <v>429</v>
      </c>
      <c r="B378" s="160">
        <v>52242</v>
      </c>
      <c r="C378" s="160">
        <v>47681</v>
      </c>
      <c r="D378" s="160">
        <v>27330</v>
      </c>
      <c r="E378" s="160">
        <v>44300</v>
      </c>
      <c r="F378" s="160">
        <v>33548</v>
      </c>
      <c r="G378" s="160">
        <v>42969</v>
      </c>
      <c r="H378" s="160">
        <v>54573</v>
      </c>
      <c r="I378" s="160">
        <v>31881</v>
      </c>
      <c r="J378" s="160">
        <v>38140</v>
      </c>
      <c r="K378" s="160">
        <v>43744</v>
      </c>
      <c r="L378" s="160">
        <f t="shared" si="12"/>
        <v>41166.6</v>
      </c>
      <c r="M378" s="160">
        <f t="shared" si="13"/>
        <v>42115</v>
      </c>
    </row>
    <row r="379" spans="1:13" x14ac:dyDescent="0.2">
      <c r="A379" s="160" t="s">
        <v>351</v>
      </c>
      <c r="B379" s="160">
        <v>16641</v>
      </c>
      <c r="C379" s="160">
        <v>17993</v>
      </c>
      <c r="D379" s="160">
        <v>10422</v>
      </c>
      <c r="E379" s="160">
        <v>12527</v>
      </c>
      <c r="F379" s="160">
        <v>16771</v>
      </c>
      <c r="G379" s="160">
        <v>19345</v>
      </c>
      <c r="H379" s="160">
        <v>7042</v>
      </c>
      <c r="I379" s="160">
        <v>6950</v>
      </c>
      <c r="J379" s="160">
        <v>11923</v>
      </c>
      <c r="K379" s="160">
        <v>12276</v>
      </c>
      <c r="L379" s="160">
        <f t="shared" si="12"/>
        <v>12559.8</v>
      </c>
      <c r="M379" s="160">
        <f t="shared" si="13"/>
        <v>13818.2</v>
      </c>
    </row>
    <row r="380" spans="1:13" x14ac:dyDescent="0.2">
      <c r="A380" s="160" t="s">
        <v>430</v>
      </c>
      <c r="B380" s="160">
        <v>340</v>
      </c>
      <c r="C380" s="160">
        <v>58</v>
      </c>
      <c r="D380" s="160">
        <v>258</v>
      </c>
      <c r="E380" s="160">
        <v>31</v>
      </c>
      <c r="F380" s="160">
        <v>299</v>
      </c>
      <c r="G380" s="160">
        <v>26</v>
      </c>
      <c r="H380" s="160">
        <v>299</v>
      </c>
      <c r="I380" s="160">
        <v>20</v>
      </c>
      <c r="J380" s="160">
        <v>299</v>
      </c>
      <c r="K380" s="160">
        <v>19</v>
      </c>
      <c r="L380" s="160">
        <f t="shared" si="12"/>
        <v>299</v>
      </c>
      <c r="M380" s="160">
        <f t="shared" si="13"/>
        <v>30.8</v>
      </c>
    </row>
    <row r="381" spans="1:13" x14ac:dyDescent="0.2">
      <c r="A381" s="160" t="s">
        <v>491</v>
      </c>
      <c r="B381" s="160">
        <v>2746</v>
      </c>
      <c r="C381" s="160">
        <v>2796</v>
      </c>
      <c r="D381" s="160">
        <v>3974</v>
      </c>
      <c r="E381" s="160">
        <v>5257</v>
      </c>
      <c r="F381" s="160">
        <v>885</v>
      </c>
      <c r="G381" s="160">
        <v>1080</v>
      </c>
      <c r="H381" s="160">
        <v>1195</v>
      </c>
      <c r="I381" s="160">
        <v>1290</v>
      </c>
      <c r="J381" s="160">
        <v>394</v>
      </c>
      <c r="K381" s="160">
        <v>383</v>
      </c>
      <c r="L381" s="160">
        <f t="shared" si="12"/>
        <v>1838.8</v>
      </c>
      <c r="M381" s="160">
        <f t="shared" si="13"/>
        <v>2161.1999999999998</v>
      </c>
    </row>
    <row r="382" spans="1:13" x14ac:dyDescent="0.2">
      <c r="A382" s="160" t="s">
        <v>431</v>
      </c>
      <c r="B382" s="160">
        <v>2811</v>
      </c>
      <c r="C382" s="160">
        <v>848</v>
      </c>
      <c r="D382" s="160">
        <v>1334</v>
      </c>
      <c r="E382" s="160">
        <v>1044</v>
      </c>
      <c r="F382" s="160">
        <v>4572</v>
      </c>
      <c r="G382" s="160">
        <v>3730</v>
      </c>
      <c r="H382" s="160">
        <v>22</v>
      </c>
      <c r="I382" s="160">
        <v>10</v>
      </c>
      <c r="J382" s="160">
        <v>24</v>
      </c>
      <c r="K382" s="160">
        <v>18</v>
      </c>
      <c r="L382" s="160">
        <f t="shared" si="12"/>
        <v>1752.6</v>
      </c>
      <c r="M382" s="160">
        <f t="shared" si="13"/>
        <v>1130</v>
      </c>
    </row>
    <row r="383" spans="1:13" x14ac:dyDescent="0.2">
      <c r="A383" s="160" t="s">
        <v>611</v>
      </c>
      <c r="B383" s="160">
        <v>380</v>
      </c>
      <c r="C383" s="160">
        <v>648</v>
      </c>
      <c r="D383" s="160">
        <v>214</v>
      </c>
      <c r="E383" s="160">
        <v>762</v>
      </c>
      <c r="F383" s="160">
        <v>3796</v>
      </c>
      <c r="G383" s="160">
        <v>5664</v>
      </c>
      <c r="H383" s="160">
        <v>23646</v>
      </c>
      <c r="I383" s="160">
        <v>24630</v>
      </c>
      <c r="J383" s="160">
        <v>173</v>
      </c>
      <c r="K383" s="160">
        <v>579</v>
      </c>
      <c r="L383" s="160">
        <f t="shared" si="12"/>
        <v>5641.8</v>
      </c>
      <c r="M383" s="160">
        <f t="shared" si="13"/>
        <v>6456.6</v>
      </c>
    </row>
    <row r="384" spans="1:13" x14ac:dyDescent="0.2">
      <c r="A384" s="160" t="s">
        <v>379</v>
      </c>
      <c r="B384" s="160">
        <v>5596</v>
      </c>
      <c r="C384" s="160">
        <v>12010</v>
      </c>
      <c r="D384" s="160">
        <v>14012</v>
      </c>
      <c r="E384" s="160">
        <v>14514</v>
      </c>
      <c r="F384" s="160">
        <v>10403</v>
      </c>
      <c r="G384" s="160">
        <v>10528</v>
      </c>
      <c r="H384" s="160">
        <v>12382</v>
      </c>
      <c r="I384" s="160">
        <v>12593</v>
      </c>
      <c r="J384" s="160">
        <v>6547</v>
      </c>
      <c r="K384" s="160">
        <v>6549</v>
      </c>
      <c r="L384" s="160">
        <f t="shared" si="12"/>
        <v>9788</v>
      </c>
      <c r="M384" s="160">
        <f t="shared" si="13"/>
        <v>11238.8</v>
      </c>
    </row>
    <row r="385" spans="1:13" x14ac:dyDescent="0.2">
      <c r="A385" s="160" t="s">
        <v>352</v>
      </c>
      <c r="B385" s="160">
        <v>17190</v>
      </c>
      <c r="C385" s="160">
        <v>22599</v>
      </c>
      <c r="D385" s="160">
        <v>12782</v>
      </c>
      <c r="E385" s="160">
        <v>38470</v>
      </c>
      <c r="F385" s="160">
        <v>14513</v>
      </c>
      <c r="G385" s="160">
        <v>34764</v>
      </c>
      <c r="H385" s="160">
        <v>6236</v>
      </c>
      <c r="I385" s="160">
        <v>6965</v>
      </c>
      <c r="J385" s="160">
        <v>9814</v>
      </c>
      <c r="K385" s="160">
        <v>10361</v>
      </c>
      <c r="L385" s="160">
        <f t="shared" si="12"/>
        <v>12107</v>
      </c>
      <c r="M385" s="160">
        <f t="shared" si="13"/>
        <v>22631.8</v>
      </c>
    </row>
    <row r="386" spans="1:13" x14ac:dyDescent="0.2">
      <c r="A386" s="160" t="s">
        <v>492</v>
      </c>
      <c r="B386" s="160">
        <v>38636</v>
      </c>
      <c r="C386" s="160">
        <v>40401</v>
      </c>
      <c r="D386" s="160">
        <v>41647</v>
      </c>
      <c r="E386" s="160">
        <v>54506</v>
      </c>
      <c r="F386" s="160">
        <v>27805</v>
      </c>
      <c r="G386" s="160">
        <v>25189</v>
      </c>
      <c r="H386" s="160">
        <v>34239</v>
      </c>
      <c r="I386" s="160">
        <v>32165</v>
      </c>
      <c r="J386" s="160">
        <v>33699</v>
      </c>
      <c r="K386" s="160">
        <v>27858</v>
      </c>
      <c r="L386" s="160">
        <f t="shared" si="12"/>
        <v>35205.199999999997</v>
      </c>
      <c r="M386" s="160">
        <f t="shared" si="13"/>
        <v>36023.800000000003</v>
      </c>
    </row>
    <row r="387" spans="1:13" x14ac:dyDescent="0.2">
      <c r="A387" s="160" t="s">
        <v>493</v>
      </c>
      <c r="B387" s="160">
        <v>10</v>
      </c>
      <c r="C387" s="160">
        <v>63</v>
      </c>
      <c r="D387" s="160">
        <v>0</v>
      </c>
      <c r="E387" s="160">
        <v>41</v>
      </c>
      <c r="F387" s="160">
        <v>1632</v>
      </c>
      <c r="G387" s="160">
        <v>1652</v>
      </c>
      <c r="H387" s="160">
        <v>2480</v>
      </c>
      <c r="I387" s="160">
        <v>3146</v>
      </c>
      <c r="J387" s="160">
        <v>201</v>
      </c>
      <c r="K387" s="160">
        <v>588</v>
      </c>
      <c r="L387" s="160">
        <f t="shared" si="12"/>
        <v>864.6</v>
      </c>
      <c r="M387" s="160">
        <f t="shared" si="13"/>
        <v>1098</v>
      </c>
    </row>
    <row r="388" spans="1:13" x14ac:dyDescent="0.2">
      <c r="A388" s="160" t="s">
        <v>251</v>
      </c>
      <c r="B388" s="160">
        <v>4053</v>
      </c>
      <c r="C388" s="160">
        <v>3728</v>
      </c>
      <c r="D388" s="160">
        <v>1490</v>
      </c>
      <c r="E388" s="160">
        <v>1539</v>
      </c>
      <c r="F388" s="160">
        <v>3187</v>
      </c>
      <c r="G388" s="160">
        <v>4131</v>
      </c>
      <c r="H388" s="160">
        <v>1263</v>
      </c>
      <c r="I388" s="160">
        <v>1335</v>
      </c>
      <c r="J388" s="160">
        <v>4169</v>
      </c>
      <c r="K388" s="160">
        <v>4169</v>
      </c>
      <c r="L388" s="160">
        <f t="shared" si="12"/>
        <v>2832.4</v>
      </c>
      <c r="M388" s="160">
        <f t="shared" si="13"/>
        <v>2980.4</v>
      </c>
    </row>
    <row r="389" spans="1:13" x14ac:dyDescent="0.2">
      <c r="A389" s="160" t="s">
        <v>494</v>
      </c>
      <c r="B389" s="160">
        <v>8035</v>
      </c>
      <c r="C389" s="160">
        <v>7831</v>
      </c>
      <c r="D389" s="160">
        <v>10336</v>
      </c>
      <c r="E389" s="160">
        <v>14609</v>
      </c>
      <c r="F389" s="160">
        <v>19703</v>
      </c>
      <c r="G389" s="160">
        <v>29702</v>
      </c>
      <c r="H389" s="160">
        <v>22143</v>
      </c>
      <c r="I389" s="160">
        <v>20205</v>
      </c>
      <c r="J389" s="160">
        <v>4868</v>
      </c>
      <c r="K389" s="160">
        <v>4853</v>
      </c>
      <c r="L389" s="160">
        <f t="shared" si="12"/>
        <v>13017</v>
      </c>
      <c r="M389" s="160">
        <f t="shared" si="13"/>
        <v>15440</v>
      </c>
    </row>
    <row r="390" spans="1:13" x14ac:dyDescent="0.2">
      <c r="A390" s="160" t="s">
        <v>573</v>
      </c>
      <c r="B390" s="160">
        <v>2042</v>
      </c>
      <c r="C390" s="160">
        <v>2856</v>
      </c>
      <c r="D390" s="160">
        <v>1774</v>
      </c>
      <c r="E390" s="160">
        <v>1972</v>
      </c>
      <c r="F390" s="160">
        <v>4042</v>
      </c>
      <c r="G390" s="160">
        <v>3451</v>
      </c>
      <c r="H390" s="160">
        <v>1206</v>
      </c>
      <c r="I390" s="160">
        <v>1123</v>
      </c>
      <c r="J390" s="160">
        <v>7812</v>
      </c>
      <c r="K390" s="160">
        <v>7812</v>
      </c>
      <c r="L390" s="160">
        <f t="shared" si="12"/>
        <v>3375.2</v>
      </c>
      <c r="M390" s="160">
        <f t="shared" si="13"/>
        <v>3442.8</v>
      </c>
    </row>
    <row r="391" spans="1:13" x14ac:dyDescent="0.2">
      <c r="A391" s="160" t="s">
        <v>353</v>
      </c>
      <c r="B391" s="160">
        <v>10956</v>
      </c>
      <c r="C391" s="160">
        <v>13870</v>
      </c>
      <c r="D391" s="160">
        <v>28717</v>
      </c>
      <c r="E391" s="160">
        <v>44179</v>
      </c>
      <c r="F391" s="160">
        <v>13262</v>
      </c>
      <c r="G391" s="160">
        <v>15110</v>
      </c>
      <c r="H391" s="160">
        <v>5344</v>
      </c>
      <c r="I391" s="160">
        <v>5918</v>
      </c>
      <c r="J391" s="160">
        <v>9004</v>
      </c>
      <c r="K391" s="160">
        <v>9490</v>
      </c>
      <c r="L391" s="160">
        <f t="shared" si="12"/>
        <v>13456.6</v>
      </c>
      <c r="M391" s="160">
        <f t="shared" si="13"/>
        <v>17713.400000000001</v>
      </c>
    </row>
    <row r="392" spans="1:13" x14ac:dyDescent="0.2">
      <c r="A392" s="160" t="s">
        <v>296</v>
      </c>
      <c r="B392" s="160">
        <v>5359</v>
      </c>
      <c r="C392" s="160">
        <v>5740</v>
      </c>
      <c r="D392" s="160">
        <v>4244</v>
      </c>
      <c r="E392" s="160">
        <v>10686</v>
      </c>
      <c r="F392" s="160">
        <v>6642</v>
      </c>
      <c r="G392" s="160">
        <v>8018</v>
      </c>
      <c r="H392" s="160">
        <v>3776</v>
      </c>
      <c r="I392" s="160">
        <v>5831</v>
      </c>
      <c r="J392" s="160">
        <v>11844</v>
      </c>
      <c r="K392" s="160">
        <v>12076</v>
      </c>
      <c r="L392" s="160">
        <f t="shared" si="12"/>
        <v>6373</v>
      </c>
      <c r="M392" s="160">
        <f t="shared" si="13"/>
        <v>8470.2000000000007</v>
      </c>
    </row>
    <row r="393" spans="1:13" x14ac:dyDescent="0.2">
      <c r="A393" s="160" t="s">
        <v>495</v>
      </c>
      <c r="B393" s="160">
        <v>10725</v>
      </c>
      <c r="C393" s="160">
        <v>14731</v>
      </c>
      <c r="D393" s="160">
        <v>5739</v>
      </c>
      <c r="E393" s="160">
        <v>12824</v>
      </c>
      <c r="F393" s="160">
        <v>3946</v>
      </c>
      <c r="G393" s="160">
        <v>7387</v>
      </c>
      <c r="H393" s="160">
        <v>17378</v>
      </c>
      <c r="I393" s="160">
        <v>15911</v>
      </c>
      <c r="J393" s="160">
        <v>4051</v>
      </c>
      <c r="K393" s="160">
        <v>4316</v>
      </c>
      <c r="L393" s="160">
        <f t="shared" si="12"/>
        <v>8367.7999999999993</v>
      </c>
      <c r="M393" s="160">
        <f t="shared" si="13"/>
        <v>11033.8</v>
      </c>
    </row>
    <row r="394" spans="1:13" x14ac:dyDescent="0.2">
      <c r="A394" s="160" t="s">
        <v>297</v>
      </c>
      <c r="B394" s="160">
        <v>53215</v>
      </c>
      <c r="C394" s="160">
        <v>50460</v>
      </c>
      <c r="D394" s="160">
        <v>40734</v>
      </c>
      <c r="E394" s="160">
        <v>38508</v>
      </c>
      <c r="F394" s="160">
        <v>44816</v>
      </c>
      <c r="G394" s="160">
        <v>44802</v>
      </c>
      <c r="H394" s="160">
        <v>50180</v>
      </c>
      <c r="I394" s="160">
        <v>58652</v>
      </c>
      <c r="J394" s="160">
        <v>60396</v>
      </c>
      <c r="K394" s="160">
        <v>65318</v>
      </c>
      <c r="L394" s="160">
        <f t="shared" si="12"/>
        <v>49868.2</v>
      </c>
      <c r="M394" s="160">
        <f t="shared" si="13"/>
        <v>51548</v>
      </c>
    </row>
    <row r="395" spans="1:13" x14ac:dyDescent="0.2">
      <c r="A395" s="160" t="s">
        <v>628</v>
      </c>
      <c r="B395" s="160">
        <f t="shared" ref="B395:G395" si="14">SUM(B2:B394)</f>
        <v>7171188</v>
      </c>
      <c r="C395" s="160">
        <f t="shared" si="14"/>
        <v>7894402.9317559535</v>
      </c>
      <c r="D395" s="160">
        <f t="shared" si="14"/>
        <v>6991979.9999999991</v>
      </c>
      <c r="E395" s="160">
        <f t="shared" si="14"/>
        <v>7895087</v>
      </c>
      <c r="F395" s="160">
        <f t="shared" si="14"/>
        <v>6248135</v>
      </c>
      <c r="G395" s="160">
        <f t="shared" si="14"/>
        <v>7354979</v>
      </c>
      <c r="H395" s="160">
        <f t="shared" ref="H395:M395" si="15">SUM(H2:H394)</f>
        <v>5555223.3649303764</v>
      </c>
      <c r="I395" s="160">
        <f t="shared" si="15"/>
        <v>5781548.1374935536</v>
      </c>
      <c r="J395" s="160">
        <f t="shared" si="15"/>
        <v>4490443</v>
      </c>
      <c r="K395" s="160">
        <f t="shared" si="15"/>
        <v>4400146</v>
      </c>
      <c r="L395" s="160">
        <f t="shared" si="15"/>
        <v>6091393.8729860764</v>
      </c>
      <c r="M395" s="160">
        <f t="shared" si="15"/>
        <v>6665232.6138499044</v>
      </c>
    </row>
    <row r="397" spans="1:13" x14ac:dyDescent="0.2">
      <c r="D397" s="160">
        <v>1075</v>
      </c>
      <c r="E397" s="160">
        <v>1050</v>
      </c>
    </row>
    <row r="398" spans="1:13" x14ac:dyDescent="0.2">
      <c r="A398" s="160" t="s">
        <v>626</v>
      </c>
      <c r="D398" s="160">
        <v>1525</v>
      </c>
      <c r="E398" s="160">
        <v>3697</v>
      </c>
    </row>
    <row r="399" spans="1:13" x14ac:dyDescent="0.2">
      <c r="A399" s="160" t="s">
        <v>262</v>
      </c>
      <c r="D399" s="160">
        <v>654</v>
      </c>
      <c r="E399" s="160">
        <v>1023</v>
      </c>
      <c r="F399" s="160">
        <v>1320</v>
      </c>
      <c r="G399" s="160">
        <v>1563</v>
      </c>
    </row>
    <row r="400" spans="1:13" x14ac:dyDescent="0.2">
      <c r="A400" s="160" t="s">
        <v>262</v>
      </c>
      <c r="D400" s="160">
        <v>2345</v>
      </c>
      <c r="E400" s="160">
        <v>5138</v>
      </c>
      <c r="F400" s="160">
        <f>10894/19390*F399</f>
        <v>741.62351727694681</v>
      </c>
      <c r="G400" s="160">
        <f>10894/19390*G399</f>
        <v>878.14966477565747</v>
      </c>
    </row>
    <row r="401" spans="1:13" x14ac:dyDescent="0.2">
      <c r="A401" s="160" t="s">
        <v>262</v>
      </c>
      <c r="D401" s="160">
        <f>SUM(D397:D400)</f>
        <v>5599</v>
      </c>
      <c r="E401" s="160">
        <f>SUM(E397:E400)</f>
        <v>10908</v>
      </c>
      <c r="F401" s="160">
        <v>85794</v>
      </c>
      <c r="G401" s="160">
        <v>86637</v>
      </c>
    </row>
    <row r="402" spans="1:13" x14ac:dyDescent="0.2">
      <c r="F402" s="160">
        <f>SUM(F400:F401)</f>
        <v>86535.623517276952</v>
      </c>
      <c r="G402" s="160">
        <f>SUM(G400:G401)</f>
        <v>87515.149664775658</v>
      </c>
    </row>
    <row r="403" spans="1:13" x14ac:dyDescent="0.2">
      <c r="A403" s="160" t="s">
        <v>260</v>
      </c>
      <c r="D403" s="160">
        <v>7350</v>
      </c>
      <c r="E403" s="160">
        <v>12201</v>
      </c>
      <c r="F403" s="160">
        <f>5996/19390*F399</f>
        <v>408.18566271273852</v>
      </c>
      <c r="G403" s="160">
        <f>5996/19390*G399</f>
        <v>483.32893243940174</v>
      </c>
    </row>
    <row r="404" spans="1:13" x14ac:dyDescent="0.2">
      <c r="A404" s="160" t="s">
        <v>260</v>
      </c>
      <c r="D404" s="160">
        <f>10894/19390*D403</f>
        <v>4129.4945848375446</v>
      </c>
      <c r="E404" s="160">
        <f>10894/19390*E403</f>
        <v>6854.961010830325</v>
      </c>
      <c r="F404" s="160">
        <v>193</v>
      </c>
      <c r="G404" s="160">
        <v>3391</v>
      </c>
    </row>
    <row r="405" spans="1:13" x14ac:dyDescent="0.2">
      <c r="A405" s="160" t="s">
        <v>260</v>
      </c>
      <c r="D405" s="160">
        <v>72386</v>
      </c>
      <c r="E405" s="160">
        <v>72033</v>
      </c>
      <c r="F405" s="160">
        <f>SUM(F403:F404)</f>
        <v>601.18566271273858</v>
      </c>
      <c r="G405" s="160">
        <f>SUM(G403:G404)</f>
        <v>3874.3289324394018</v>
      </c>
    </row>
    <row r="406" spans="1:13" x14ac:dyDescent="0.2">
      <c r="D406" s="160">
        <f>SUM(D404:D405)</f>
        <v>76515.49458483755</v>
      </c>
      <c r="E406" s="160">
        <f>SUM(E404:E405)</f>
        <v>78887.961010830331</v>
      </c>
    </row>
    <row r="407" spans="1:13" x14ac:dyDescent="0.2">
      <c r="A407" s="160" t="s">
        <v>255</v>
      </c>
      <c r="F407" s="160">
        <f>824/19390*F399</f>
        <v>56.094894275399696</v>
      </c>
      <c r="G407" s="160">
        <f>824/19390*G399</f>
        <v>66.42145435791646</v>
      </c>
    </row>
    <row r="408" spans="1:13" x14ac:dyDescent="0.2">
      <c r="A408" s="160" t="s">
        <v>255</v>
      </c>
      <c r="D408" s="160">
        <f>5996/19390*D403</f>
        <v>2272.8519855595664</v>
      </c>
      <c r="E408" s="160">
        <f>5996/19390*E403</f>
        <v>3772.9342960288805</v>
      </c>
      <c r="F408" s="160">
        <v>12208</v>
      </c>
      <c r="G408" s="160">
        <v>14353</v>
      </c>
    </row>
    <row r="409" spans="1:13" x14ac:dyDescent="0.2">
      <c r="A409" s="160" t="s">
        <v>255</v>
      </c>
      <c r="D409" s="160">
        <v>12981</v>
      </c>
      <c r="E409" s="160">
        <v>84175</v>
      </c>
      <c r="F409" s="160">
        <f>SUM(F407:F408)</f>
        <v>12264.0948942754</v>
      </c>
      <c r="G409" s="160">
        <f>SUM(G407:G408)</f>
        <v>14419.421454357916</v>
      </c>
    </row>
    <row r="410" spans="1:13" x14ac:dyDescent="0.2">
      <c r="D410" s="160">
        <f>SUM(D408:D409)</f>
        <v>15253.851985559566</v>
      </c>
      <c r="E410" s="160">
        <f>SUM(E408:E409)</f>
        <v>87947.934296028878</v>
      </c>
    </row>
    <row r="411" spans="1:13" x14ac:dyDescent="0.2">
      <c r="A411" s="160" t="s">
        <v>620</v>
      </c>
      <c r="F411" s="160">
        <f>1676/19390*F399</f>
        <v>114.0959257349149</v>
      </c>
      <c r="G411" s="160">
        <f>1676/19390*G399</f>
        <v>135.09994842702423</v>
      </c>
    </row>
    <row r="412" spans="1:13" x14ac:dyDescent="0.2">
      <c r="A412" s="160" t="s">
        <v>620</v>
      </c>
      <c r="D412" s="160">
        <f>824/19390*D403</f>
        <v>312.34657039711192</v>
      </c>
      <c r="E412" s="160">
        <f>824/19390*E403</f>
        <v>518.49530685920581</v>
      </c>
      <c r="F412" s="160">
        <v>11235</v>
      </c>
      <c r="G412" s="160">
        <v>13073</v>
      </c>
    </row>
    <row r="413" spans="1:13" x14ac:dyDescent="0.2">
      <c r="A413" s="160" t="s">
        <v>620</v>
      </c>
      <c r="D413" s="160">
        <v>14555</v>
      </c>
      <c r="E413" s="160">
        <v>15234</v>
      </c>
      <c r="F413" s="160">
        <f>SUM(F411:F412)</f>
        <v>11349.095925734915</v>
      </c>
      <c r="G413" s="160">
        <f>SUM(G411:G412)</f>
        <v>13208.099948427025</v>
      </c>
    </row>
    <row r="414" spans="1:13" x14ac:dyDescent="0.2">
      <c r="D414" s="160">
        <f>SUM(D412:D413)</f>
        <v>14867.346570397112</v>
      </c>
      <c r="E414" s="160">
        <f>SUM(E412:E413)</f>
        <v>15752.495306859206</v>
      </c>
    </row>
    <row r="416" spans="1:13" x14ac:dyDescent="0.2">
      <c r="A416" s="160" t="s">
        <v>381</v>
      </c>
      <c r="B416" s="160">
        <v>23629</v>
      </c>
      <c r="C416" s="160">
        <v>30688</v>
      </c>
      <c r="D416" s="160">
        <v>51389</v>
      </c>
      <c r="E416" s="160">
        <v>51273</v>
      </c>
      <c r="F416" s="160">
        <v>48181</v>
      </c>
      <c r="G416" s="160">
        <v>46594</v>
      </c>
      <c r="H416" s="160">
        <v>43340</v>
      </c>
      <c r="I416" s="160">
        <v>43789</v>
      </c>
      <c r="J416" s="160">
        <v>56941</v>
      </c>
      <c r="K416" s="160">
        <v>57242</v>
      </c>
      <c r="L416" s="160">
        <f t="shared" ref="L416:M418" si="16">SUM(B416,D416,F416,H416,J416)/5</f>
        <v>44696</v>
      </c>
      <c r="M416" s="160">
        <f t="shared" si="16"/>
        <v>45917.2</v>
      </c>
    </row>
    <row r="417" spans="1:13" x14ac:dyDescent="0.2">
      <c r="A417" s="160" t="s">
        <v>395</v>
      </c>
      <c r="B417" s="160">
        <v>1357</v>
      </c>
      <c r="C417" s="160">
        <v>1557</v>
      </c>
      <c r="D417" s="160">
        <v>494</v>
      </c>
      <c r="E417" s="160">
        <v>354</v>
      </c>
      <c r="F417" s="160">
        <v>2330</v>
      </c>
      <c r="G417" s="160">
        <v>4289</v>
      </c>
      <c r="H417" s="160">
        <v>297</v>
      </c>
      <c r="I417" s="160">
        <v>205</v>
      </c>
      <c r="J417" s="160">
        <v>2177</v>
      </c>
      <c r="K417" s="160">
        <v>2177</v>
      </c>
      <c r="L417" s="160">
        <f t="shared" si="16"/>
        <v>1331</v>
      </c>
      <c r="M417" s="160">
        <f t="shared" si="16"/>
        <v>1716.4</v>
      </c>
    </row>
    <row r="418" spans="1:13" x14ac:dyDescent="0.2">
      <c r="A418" s="160" t="s">
        <v>419</v>
      </c>
      <c r="B418" s="160">
        <v>617</v>
      </c>
      <c r="C418" s="160">
        <v>674</v>
      </c>
      <c r="D418" s="160">
        <v>628</v>
      </c>
      <c r="E418" s="160">
        <v>998</v>
      </c>
      <c r="F418" s="160">
        <v>1130</v>
      </c>
      <c r="G418" s="160">
        <v>1357</v>
      </c>
      <c r="H418" s="160">
        <v>103</v>
      </c>
      <c r="I418" s="160">
        <v>288</v>
      </c>
      <c r="J418" s="160">
        <v>440</v>
      </c>
      <c r="K418" s="160">
        <v>443</v>
      </c>
      <c r="L418" s="160">
        <f t="shared" si="16"/>
        <v>583.6</v>
      </c>
      <c r="M418" s="160">
        <f t="shared" si="16"/>
        <v>752</v>
      </c>
    </row>
    <row r="419" spans="1:13" x14ac:dyDescent="0.2">
      <c r="A419" s="160" t="s">
        <v>381</v>
      </c>
      <c r="B419" s="160">
        <f>SUM(B416:B418)</f>
        <v>25603</v>
      </c>
      <c r="C419" s="160">
        <f t="shared" ref="C419:M419" si="17">SUM(C416:C418)</f>
        <v>32919</v>
      </c>
      <c r="D419" s="160">
        <f t="shared" si="17"/>
        <v>52511</v>
      </c>
      <c r="E419" s="160">
        <f t="shared" si="17"/>
        <v>52625</v>
      </c>
      <c r="F419" s="160">
        <f t="shared" si="17"/>
        <v>51641</v>
      </c>
      <c r="G419" s="160">
        <f t="shared" si="17"/>
        <v>52240</v>
      </c>
      <c r="H419" s="160">
        <f t="shared" si="17"/>
        <v>43740</v>
      </c>
      <c r="I419" s="160">
        <f t="shared" si="17"/>
        <v>44282</v>
      </c>
      <c r="J419" s="160">
        <f t="shared" si="17"/>
        <v>59558</v>
      </c>
      <c r="K419" s="160">
        <f t="shared" si="17"/>
        <v>59862</v>
      </c>
      <c r="L419" s="160">
        <f t="shared" si="17"/>
        <v>46610.6</v>
      </c>
      <c r="M419" s="160">
        <f t="shared" si="17"/>
        <v>48385.599999999999</v>
      </c>
    </row>
    <row r="421" spans="1:13" x14ac:dyDescent="0.2">
      <c r="A421" s="160" t="s">
        <v>317</v>
      </c>
      <c r="B421" s="160">
        <v>3928</v>
      </c>
      <c r="C421" s="160">
        <v>4143</v>
      </c>
      <c r="D421" s="160">
        <v>5993</v>
      </c>
      <c r="E421" s="160">
        <v>5193</v>
      </c>
      <c r="F421" s="160">
        <v>3489</v>
      </c>
      <c r="G421" s="160">
        <v>3649</v>
      </c>
      <c r="H421" s="160">
        <v>5021</v>
      </c>
      <c r="I421" s="160">
        <v>5729</v>
      </c>
      <c r="J421" s="160">
        <v>344</v>
      </c>
      <c r="K421" s="160">
        <v>1104</v>
      </c>
      <c r="L421" s="160">
        <f t="shared" ref="L421:M423" si="18">SUM(B421,D421,F421,H421,J421)/5</f>
        <v>3755</v>
      </c>
      <c r="M421" s="160">
        <f t="shared" si="18"/>
        <v>3963.6</v>
      </c>
    </row>
    <row r="422" spans="1:13" x14ac:dyDescent="0.2">
      <c r="A422" s="160" t="s">
        <v>326</v>
      </c>
      <c r="B422" s="160">
        <v>7</v>
      </c>
      <c r="C422" s="160">
        <v>111</v>
      </c>
      <c r="D422" s="160">
        <v>14</v>
      </c>
      <c r="E422" s="160">
        <v>110</v>
      </c>
      <c r="F422" s="160">
        <v>389</v>
      </c>
      <c r="G422" s="160">
        <v>248</v>
      </c>
      <c r="H422" s="160">
        <v>176</v>
      </c>
      <c r="I422" s="160">
        <v>56</v>
      </c>
      <c r="J422" s="160">
        <v>20</v>
      </c>
      <c r="K422" s="160">
        <v>28</v>
      </c>
      <c r="L422" s="160">
        <f t="shared" si="18"/>
        <v>121.2</v>
      </c>
      <c r="M422" s="160">
        <f t="shared" si="18"/>
        <v>110.6</v>
      </c>
    </row>
    <row r="423" spans="1:13" x14ac:dyDescent="0.2">
      <c r="A423" s="160" t="s">
        <v>344</v>
      </c>
      <c r="B423" s="160">
        <v>1710</v>
      </c>
      <c r="C423" s="160">
        <v>1589</v>
      </c>
      <c r="D423" s="160">
        <v>358</v>
      </c>
      <c r="E423" s="160">
        <v>405</v>
      </c>
      <c r="F423" s="160">
        <v>302</v>
      </c>
      <c r="G423" s="160">
        <v>264</v>
      </c>
      <c r="H423" s="160">
        <v>206</v>
      </c>
      <c r="I423" s="160">
        <v>39</v>
      </c>
      <c r="J423" s="160">
        <v>36</v>
      </c>
      <c r="K423" s="160">
        <v>43</v>
      </c>
      <c r="L423" s="160">
        <f t="shared" si="18"/>
        <v>522.4</v>
      </c>
      <c r="M423" s="160">
        <f t="shared" si="18"/>
        <v>468</v>
      </c>
    </row>
    <row r="424" spans="1:13" x14ac:dyDescent="0.2">
      <c r="A424" s="160" t="s">
        <v>317</v>
      </c>
      <c r="B424" s="160">
        <f>SUM(B421:B423)</f>
        <v>5645</v>
      </c>
      <c r="C424" s="160">
        <f t="shared" ref="C424:M424" si="19">SUM(C421:C423)</f>
        <v>5843</v>
      </c>
      <c r="D424" s="160">
        <f t="shared" si="19"/>
        <v>6365</v>
      </c>
      <c r="E424" s="160">
        <f t="shared" si="19"/>
        <v>5708</v>
      </c>
      <c r="F424" s="160">
        <f t="shared" si="19"/>
        <v>4180</v>
      </c>
      <c r="G424" s="160">
        <f t="shared" si="19"/>
        <v>4161</v>
      </c>
      <c r="H424" s="160">
        <f t="shared" si="19"/>
        <v>5403</v>
      </c>
      <c r="I424" s="160">
        <f t="shared" si="19"/>
        <v>5824</v>
      </c>
      <c r="J424" s="160">
        <f t="shared" si="19"/>
        <v>400</v>
      </c>
      <c r="K424" s="160">
        <f t="shared" si="19"/>
        <v>1175</v>
      </c>
      <c r="L424" s="160">
        <f t="shared" si="19"/>
        <v>4398.5999999999995</v>
      </c>
      <c r="M424" s="160">
        <f t="shared" si="19"/>
        <v>4542.2</v>
      </c>
    </row>
    <row r="426" spans="1:13" x14ac:dyDescent="0.2">
      <c r="A426" s="160" t="s">
        <v>437</v>
      </c>
      <c r="B426" s="160">
        <v>3492</v>
      </c>
      <c r="C426" s="160">
        <v>2499</v>
      </c>
      <c r="D426" s="160">
        <v>2547</v>
      </c>
      <c r="E426" s="160">
        <v>2903</v>
      </c>
      <c r="F426" s="160">
        <v>3759</v>
      </c>
      <c r="G426" s="160">
        <v>4461</v>
      </c>
      <c r="H426" s="160">
        <v>2958</v>
      </c>
      <c r="I426" s="160">
        <v>3110</v>
      </c>
      <c r="J426" s="160">
        <v>418</v>
      </c>
      <c r="K426" s="160">
        <v>498</v>
      </c>
      <c r="L426" s="160">
        <f>SUM(B426,D426,F426,H426,J426)/5</f>
        <v>2634.8</v>
      </c>
      <c r="M426" s="160">
        <f>SUM(C426,E426,G426,I426,K426)/5</f>
        <v>2694.2</v>
      </c>
    </row>
    <row r="427" spans="1:13" x14ac:dyDescent="0.2">
      <c r="A427" s="160" t="s">
        <v>481</v>
      </c>
      <c r="B427" s="160">
        <v>32941</v>
      </c>
      <c r="C427" s="160">
        <v>41969</v>
      </c>
      <c r="D427" s="160">
        <v>37238</v>
      </c>
      <c r="E427" s="160">
        <v>28084</v>
      </c>
      <c r="F427" s="160">
        <v>36926</v>
      </c>
      <c r="G427" s="160">
        <v>69411</v>
      </c>
      <c r="H427" s="160">
        <v>64423</v>
      </c>
      <c r="I427" s="160">
        <v>49083</v>
      </c>
      <c r="J427" s="160">
        <v>5875</v>
      </c>
      <c r="K427" s="160">
        <v>5235</v>
      </c>
      <c r="L427" s="160">
        <f>SUM(B427,D427,F427,H427,J427)/5</f>
        <v>35480.6</v>
      </c>
      <c r="M427" s="160">
        <f>SUM(C427,E427,G427,I427,K427)/5</f>
        <v>38756.400000000001</v>
      </c>
    </row>
    <row r="428" spans="1:13" x14ac:dyDescent="0.2">
      <c r="A428" s="160" t="s">
        <v>743</v>
      </c>
      <c r="B428" s="160">
        <f>SUM(B426:B427)</f>
        <v>36433</v>
      </c>
      <c r="C428" s="160">
        <f t="shared" ref="C428:M428" si="20">SUM(C426:C427)</f>
        <v>44468</v>
      </c>
      <c r="D428" s="160">
        <f t="shared" si="20"/>
        <v>39785</v>
      </c>
      <c r="E428" s="160">
        <f t="shared" si="20"/>
        <v>30987</v>
      </c>
      <c r="F428" s="160">
        <f t="shared" si="20"/>
        <v>40685</v>
      </c>
      <c r="G428" s="160">
        <f t="shared" si="20"/>
        <v>73872</v>
      </c>
      <c r="H428" s="160">
        <f t="shared" si="20"/>
        <v>67381</v>
      </c>
      <c r="I428" s="160">
        <f t="shared" si="20"/>
        <v>52193</v>
      </c>
      <c r="J428" s="160">
        <f t="shared" si="20"/>
        <v>6293</v>
      </c>
      <c r="K428" s="160">
        <f t="shared" si="20"/>
        <v>5733</v>
      </c>
      <c r="L428" s="160">
        <f t="shared" si="20"/>
        <v>38115.4</v>
      </c>
      <c r="M428" s="160">
        <f t="shared" si="20"/>
        <v>41450.6</v>
      </c>
    </row>
    <row r="430" spans="1:13" x14ac:dyDescent="0.2">
      <c r="A430" s="160" t="s">
        <v>436</v>
      </c>
      <c r="B430" s="160">
        <v>0</v>
      </c>
      <c r="C430" s="160">
        <v>141</v>
      </c>
      <c r="D430" s="160">
        <v>0</v>
      </c>
      <c r="E430" s="160">
        <v>1</v>
      </c>
      <c r="F430" s="160">
        <v>0</v>
      </c>
      <c r="G430" s="160">
        <v>0</v>
      </c>
      <c r="H430" s="160">
        <v>0</v>
      </c>
      <c r="I430" s="160">
        <v>0</v>
      </c>
      <c r="J430" s="160">
        <v>0</v>
      </c>
      <c r="K430" s="160">
        <v>14</v>
      </c>
      <c r="L430" s="160">
        <f t="shared" ref="L430:M434" si="21">SUM(B430,D430,F430,H430,J430)/5</f>
        <v>0</v>
      </c>
      <c r="M430" s="160">
        <f t="shared" si="21"/>
        <v>31.2</v>
      </c>
    </row>
    <row r="431" spans="1:13" x14ac:dyDescent="0.2">
      <c r="A431" s="160" t="s">
        <v>466</v>
      </c>
      <c r="B431" s="160">
        <v>13780</v>
      </c>
      <c r="C431" s="160">
        <v>13840</v>
      </c>
      <c r="D431" s="160">
        <v>12262</v>
      </c>
      <c r="E431" s="160">
        <v>12118</v>
      </c>
      <c r="F431" s="160">
        <v>7884</v>
      </c>
      <c r="G431" s="160">
        <v>8184</v>
      </c>
      <c r="H431" s="160">
        <v>3681</v>
      </c>
      <c r="I431" s="160">
        <v>2425</v>
      </c>
      <c r="J431" s="160">
        <v>5167</v>
      </c>
      <c r="K431" s="160">
        <v>3854</v>
      </c>
      <c r="L431" s="160">
        <f t="shared" si="21"/>
        <v>8554.7999999999993</v>
      </c>
      <c r="M431" s="160">
        <f t="shared" si="21"/>
        <v>8084.2</v>
      </c>
    </row>
    <row r="432" spans="1:13" x14ac:dyDescent="0.2">
      <c r="A432" s="160" t="s">
        <v>472</v>
      </c>
      <c r="B432" s="160">
        <v>209</v>
      </c>
      <c r="C432" s="160">
        <v>185</v>
      </c>
      <c r="D432" s="160">
        <v>1874</v>
      </c>
      <c r="E432" s="160">
        <v>1132</v>
      </c>
      <c r="F432" s="160">
        <v>208</v>
      </c>
      <c r="G432" s="160">
        <v>87</v>
      </c>
      <c r="H432" s="160">
        <v>495</v>
      </c>
      <c r="I432" s="160">
        <v>118</v>
      </c>
      <c r="J432" s="160">
        <v>396</v>
      </c>
      <c r="K432" s="160">
        <v>242</v>
      </c>
      <c r="L432" s="160">
        <f t="shared" si="21"/>
        <v>636.4</v>
      </c>
      <c r="M432" s="160">
        <f t="shared" si="21"/>
        <v>352.8</v>
      </c>
    </row>
    <row r="433" spans="1:13" x14ac:dyDescent="0.2">
      <c r="A433" s="160" t="s">
        <v>479</v>
      </c>
      <c r="B433" s="160">
        <v>492</v>
      </c>
      <c r="C433" s="160">
        <v>492</v>
      </c>
      <c r="D433" s="160">
        <v>20749</v>
      </c>
      <c r="E433" s="160">
        <v>21069</v>
      </c>
      <c r="F433" s="160">
        <v>586</v>
      </c>
      <c r="G433" s="160">
        <v>557</v>
      </c>
      <c r="H433" s="160">
        <v>2642</v>
      </c>
      <c r="I433" s="160">
        <v>2641</v>
      </c>
      <c r="J433" s="160">
        <v>1341</v>
      </c>
      <c r="K433" s="160">
        <v>1353</v>
      </c>
      <c r="L433" s="160">
        <f t="shared" si="21"/>
        <v>5162</v>
      </c>
      <c r="M433" s="160">
        <f t="shared" si="21"/>
        <v>5222.3999999999996</v>
      </c>
    </row>
    <row r="434" spans="1:13" x14ac:dyDescent="0.2">
      <c r="A434" s="160" t="s">
        <v>485</v>
      </c>
      <c r="B434" s="160">
        <v>998</v>
      </c>
      <c r="C434" s="160">
        <v>681</v>
      </c>
      <c r="D434" s="160">
        <v>846</v>
      </c>
      <c r="E434" s="160">
        <v>845</v>
      </c>
      <c r="F434" s="160">
        <v>3695</v>
      </c>
      <c r="G434" s="160">
        <v>3695</v>
      </c>
      <c r="H434" s="160">
        <v>788</v>
      </c>
      <c r="I434" s="160">
        <v>712</v>
      </c>
      <c r="J434" s="160">
        <v>29</v>
      </c>
      <c r="K434" s="160">
        <v>30</v>
      </c>
      <c r="L434" s="160">
        <f t="shared" si="21"/>
        <v>1271.2</v>
      </c>
      <c r="M434" s="160">
        <f t="shared" si="21"/>
        <v>1192.5999999999999</v>
      </c>
    </row>
    <row r="435" spans="1:13" x14ac:dyDescent="0.2">
      <c r="A435" s="160" t="s">
        <v>742</v>
      </c>
      <c r="B435" s="160">
        <f>SUM(B430:B434)</f>
        <v>15479</v>
      </c>
      <c r="C435" s="160">
        <f t="shared" ref="C435:M435" si="22">SUM(C430:C434)</f>
        <v>15339</v>
      </c>
      <c r="D435" s="160">
        <f t="shared" si="22"/>
        <v>35731</v>
      </c>
      <c r="E435" s="160">
        <f t="shared" si="22"/>
        <v>35165</v>
      </c>
      <c r="F435" s="160">
        <f t="shared" si="22"/>
        <v>12373</v>
      </c>
      <c r="G435" s="160">
        <f t="shared" si="22"/>
        <v>12523</v>
      </c>
      <c r="H435" s="160">
        <f t="shared" si="22"/>
        <v>7606</v>
      </c>
      <c r="I435" s="160">
        <f t="shared" si="22"/>
        <v>5896</v>
      </c>
      <c r="J435" s="160">
        <f t="shared" si="22"/>
        <v>6933</v>
      </c>
      <c r="K435" s="160">
        <f t="shared" si="22"/>
        <v>5493</v>
      </c>
      <c r="L435" s="160">
        <f t="shared" si="22"/>
        <v>15624.4</v>
      </c>
      <c r="M435" s="160">
        <f t="shared" si="22"/>
        <v>14883.199999999999</v>
      </c>
    </row>
    <row r="437" spans="1:13" x14ac:dyDescent="0.2">
      <c r="A437" s="160" t="s">
        <v>545</v>
      </c>
      <c r="B437" s="160">
        <v>19781</v>
      </c>
      <c r="C437" s="160">
        <v>21141</v>
      </c>
      <c r="D437" s="160">
        <v>7748</v>
      </c>
      <c r="E437" s="160">
        <v>8290</v>
      </c>
      <c r="F437" s="160">
        <v>10314</v>
      </c>
      <c r="G437" s="160">
        <v>10553</v>
      </c>
      <c r="H437" s="160">
        <v>6239</v>
      </c>
      <c r="I437" s="160">
        <v>6419</v>
      </c>
      <c r="J437" s="160">
        <v>48706</v>
      </c>
      <c r="K437" s="160">
        <v>47608</v>
      </c>
      <c r="L437" s="160">
        <f>SUM(B437,D437,F437,H437,J437)/5</f>
        <v>18557.599999999999</v>
      </c>
      <c r="M437" s="160">
        <f>SUM(C437,E437,G437,I437,K437)/5</f>
        <v>18802.2</v>
      </c>
    </row>
    <row r="438" spans="1:13" x14ac:dyDescent="0.2">
      <c r="A438" s="160" t="s">
        <v>551</v>
      </c>
      <c r="B438" s="160">
        <v>29816</v>
      </c>
      <c r="C438" s="160">
        <v>32695</v>
      </c>
      <c r="D438" s="160">
        <v>42010</v>
      </c>
      <c r="E438" s="160">
        <v>50679</v>
      </c>
      <c r="F438" s="160">
        <v>44666</v>
      </c>
      <c r="G438" s="160">
        <v>46399</v>
      </c>
      <c r="H438" s="160">
        <v>24541</v>
      </c>
      <c r="I438" s="160">
        <v>25265</v>
      </c>
      <c r="J438" s="160">
        <v>4234</v>
      </c>
      <c r="K438" s="160">
        <v>4551</v>
      </c>
      <c r="L438" s="160">
        <f>SUM(B438,D438,F438,H438,J438)/5</f>
        <v>29053.4</v>
      </c>
      <c r="M438" s="160">
        <f>SUM(C438,E438,G438,I438,K438)/5</f>
        <v>31917.8</v>
      </c>
    </row>
    <row r="439" spans="1:13" x14ac:dyDescent="0.2">
      <c r="A439" s="160" t="s">
        <v>762</v>
      </c>
      <c r="B439" s="160">
        <f>4504/11284*B437</f>
        <v>7895.5710740872028</v>
      </c>
      <c r="C439" s="160">
        <f t="shared" ref="C439:M439" si="23">4504/11284*C437</f>
        <v>8438.4140375753268</v>
      </c>
      <c r="D439" s="160">
        <f t="shared" si="23"/>
        <v>3092.6082949308757</v>
      </c>
      <c r="E439" s="160">
        <f t="shared" si="23"/>
        <v>3308.9471818504076</v>
      </c>
      <c r="F439" s="160">
        <f t="shared" si="23"/>
        <v>4116.8252392768518</v>
      </c>
      <c r="G439" s="160">
        <f t="shared" si="23"/>
        <v>4212.2219071251329</v>
      </c>
      <c r="H439" s="160">
        <f t="shared" si="23"/>
        <v>2490.2920950017724</v>
      </c>
      <c r="I439" s="160">
        <f t="shared" si="23"/>
        <v>2562.1389578163771</v>
      </c>
      <c r="J439" s="160">
        <f t="shared" si="23"/>
        <v>19440.962779156325</v>
      </c>
      <c r="K439" s="160">
        <f t="shared" si="23"/>
        <v>19002.696915987239</v>
      </c>
      <c r="L439" s="160">
        <f t="shared" si="23"/>
        <v>7407.2518964906048</v>
      </c>
      <c r="M439" s="160">
        <f t="shared" si="23"/>
        <v>7504.8838000708965</v>
      </c>
    </row>
    <row r="440" spans="1:13" x14ac:dyDescent="0.2">
      <c r="A440" s="160" t="s">
        <v>551</v>
      </c>
      <c r="B440" s="160">
        <f>SUM(B438:B439)</f>
        <v>37711.571074087202</v>
      </c>
      <c r="C440" s="160">
        <f t="shared" ref="C440:M440" si="24">SUM(C438:C439)</f>
        <v>41133.414037575327</v>
      </c>
      <c r="D440" s="160">
        <f t="shared" si="24"/>
        <v>45102.608294930877</v>
      </c>
      <c r="E440" s="160">
        <f t="shared" si="24"/>
        <v>53987.94718185041</v>
      </c>
      <c r="F440" s="160">
        <f t="shared" si="24"/>
        <v>48782.825239276848</v>
      </c>
      <c r="G440" s="160">
        <f t="shared" si="24"/>
        <v>50611.221907125131</v>
      </c>
      <c r="H440" s="160">
        <f t="shared" si="24"/>
        <v>27031.292095001772</v>
      </c>
      <c r="I440" s="160">
        <f t="shared" si="24"/>
        <v>27827.138957816376</v>
      </c>
      <c r="J440" s="160">
        <f t="shared" si="24"/>
        <v>23674.962779156325</v>
      </c>
      <c r="K440" s="160">
        <f t="shared" si="24"/>
        <v>23553.696915987239</v>
      </c>
      <c r="L440" s="160">
        <f t="shared" si="24"/>
        <v>36460.651896490606</v>
      </c>
      <c r="M440" s="160">
        <f t="shared" si="24"/>
        <v>39422.683800070896</v>
      </c>
    </row>
    <row r="441" spans="1:13" x14ac:dyDescent="0.2">
      <c r="A441" s="160" t="s">
        <v>763</v>
      </c>
      <c r="B441" s="160">
        <f>SUM(B437,-B439)</f>
        <v>11885.428925912798</v>
      </c>
      <c r="C441" s="160">
        <f t="shared" ref="C441:M441" si="25">SUM(C437,-C439)</f>
        <v>12702.585962424673</v>
      </c>
      <c r="D441" s="160">
        <f t="shared" si="25"/>
        <v>4655.3917050691243</v>
      </c>
      <c r="E441" s="160">
        <f t="shared" si="25"/>
        <v>4981.052818149592</v>
      </c>
      <c r="F441" s="160">
        <f t="shared" si="25"/>
        <v>6197.1747607231482</v>
      </c>
      <c r="G441" s="160">
        <f t="shared" si="25"/>
        <v>6340.7780928748671</v>
      </c>
      <c r="H441" s="160">
        <f t="shared" si="25"/>
        <v>3748.7079049982276</v>
      </c>
      <c r="I441" s="160">
        <f t="shared" si="25"/>
        <v>3856.8610421836229</v>
      </c>
      <c r="J441" s="160">
        <f t="shared" si="25"/>
        <v>29265.037220843675</v>
      </c>
      <c r="K441" s="160">
        <f t="shared" si="25"/>
        <v>28605.303084012761</v>
      </c>
      <c r="L441" s="160">
        <f t="shared" si="25"/>
        <v>11150.348103509394</v>
      </c>
      <c r="M441" s="160">
        <f t="shared" si="25"/>
        <v>11297.316199929104</v>
      </c>
    </row>
    <row r="442" spans="1:13" x14ac:dyDescent="0.2">
      <c r="A442" s="160" t="s">
        <v>744</v>
      </c>
      <c r="B442" s="160">
        <v>36796</v>
      </c>
      <c r="C442" s="160">
        <v>34260</v>
      </c>
      <c r="D442" s="160">
        <v>46560</v>
      </c>
      <c r="E442" s="160">
        <v>48962</v>
      </c>
      <c r="F442" s="160">
        <v>36913</v>
      </c>
      <c r="G442" s="160">
        <v>44460</v>
      </c>
      <c r="H442" s="160">
        <v>25854</v>
      </c>
      <c r="I442" s="160">
        <v>28215</v>
      </c>
      <c r="J442" s="160">
        <v>28993</v>
      </c>
      <c r="K442" s="160">
        <v>30321</v>
      </c>
      <c r="L442" s="160">
        <f>SUM(B442,D442,F442,H442,J442)/5</f>
        <v>35023.199999999997</v>
      </c>
      <c r="M442" s="160">
        <f>SUM(C442,E442,G442,I442,K442)/5</f>
        <v>37243.599999999999</v>
      </c>
    </row>
    <row r="443" spans="1:13" x14ac:dyDescent="0.2">
      <c r="A443" s="160" t="s">
        <v>744</v>
      </c>
      <c r="B443" s="160">
        <f>SUM(B441:B442)</f>
        <v>48681.428925912798</v>
      </c>
      <c r="C443" s="160">
        <f t="shared" ref="C443:M443" si="26">SUM(C441:C442)</f>
        <v>46962.585962424673</v>
      </c>
      <c r="D443" s="160">
        <f t="shared" si="26"/>
        <v>51215.391705069123</v>
      </c>
      <c r="E443" s="160">
        <f t="shared" si="26"/>
        <v>53943.05281814959</v>
      </c>
      <c r="F443" s="160">
        <f t="shared" si="26"/>
        <v>43110.174760723152</v>
      </c>
      <c r="G443" s="160">
        <f t="shared" si="26"/>
        <v>50800.778092874869</v>
      </c>
      <c r="H443" s="160">
        <f t="shared" si="26"/>
        <v>29602.707904998228</v>
      </c>
      <c r="I443" s="160">
        <f t="shared" si="26"/>
        <v>32071.861042183624</v>
      </c>
      <c r="J443" s="160">
        <f t="shared" si="26"/>
        <v>58258.037220843675</v>
      </c>
      <c r="K443" s="160">
        <f t="shared" si="26"/>
        <v>58926.303084012761</v>
      </c>
      <c r="L443" s="160">
        <f t="shared" si="26"/>
        <v>46173.548103509391</v>
      </c>
      <c r="M443" s="160">
        <f t="shared" si="26"/>
        <v>48540.916199929103</v>
      </c>
    </row>
  </sheetData>
  <sheetProtection password="ABC0" sheet="1" objects="1" scenarios="1" selectLockedCells="1" selectUnlockedCells="1"/>
  <pageMargins left="0.7" right="0.7" top="0.75" bottom="0.75" header="0.3" footer="0.3"/>
  <pageSetup paperSize="9" orientation="portrait" horizontalDpi="4294967293" verticalDpi="4294967293"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1"/>
  <sheetViews>
    <sheetView topLeftCell="E1" workbookViewId="0"/>
  </sheetViews>
  <sheetFormatPr defaultRowHeight="12.75" x14ac:dyDescent="0.2"/>
  <cols>
    <col min="1" max="1" width="22.5703125" bestFit="1" customWidth="1"/>
    <col min="2" max="2" width="18.7109375" bestFit="1" customWidth="1"/>
    <col min="3" max="3" width="20.140625" bestFit="1" customWidth="1"/>
    <col min="4" max="4" width="27.42578125" bestFit="1" customWidth="1"/>
    <col min="5" max="5" width="22.140625" bestFit="1" customWidth="1"/>
    <col min="6" max="6" width="14.42578125" bestFit="1" customWidth="1"/>
    <col min="7" max="7" width="20.140625" customWidth="1"/>
    <col min="8" max="8" width="15.28515625" bestFit="1" customWidth="1"/>
    <col min="9" max="9" width="21.42578125" bestFit="1" customWidth="1"/>
    <col min="10" max="10" width="17.7109375" bestFit="1" customWidth="1"/>
    <col min="11" max="11" width="14.7109375" bestFit="1" customWidth="1"/>
    <col min="12" max="13" width="20.42578125" bestFit="1" customWidth="1"/>
    <col min="14" max="14" width="19.5703125" bestFit="1" customWidth="1"/>
    <col min="15" max="15" width="19" bestFit="1" customWidth="1"/>
  </cols>
  <sheetData>
    <row r="1" spans="1:15" x14ac:dyDescent="0.2">
      <c r="A1" t="s">
        <v>627</v>
      </c>
      <c r="B1" t="s">
        <v>796</v>
      </c>
      <c r="C1" t="s">
        <v>799</v>
      </c>
      <c r="D1" t="s">
        <v>798</v>
      </c>
      <c r="E1" t="s">
        <v>797</v>
      </c>
      <c r="F1" t="s">
        <v>801</v>
      </c>
      <c r="G1" s="101" t="s">
        <v>804</v>
      </c>
      <c r="H1" s="101" t="s">
        <v>805</v>
      </c>
      <c r="I1" s="101" t="s">
        <v>806</v>
      </c>
      <c r="J1" s="101" t="s">
        <v>807</v>
      </c>
      <c r="K1" s="101" t="s">
        <v>808</v>
      </c>
      <c r="L1" s="101" t="s">
        <v>809</v>
      </c>
      <c r="M1" s="101" t="s">
        <v>810</v>
      </c>
      <c r="N1" s="101" t="s">
        <v>811</v>
      </c>
      <c r="O1" s="101" t="s">
        <v>812</v>
      </c>
    </row>
    <row r="2" spans="1:15" x14ac:dyDescent="0.2">
      <c r="A2" t="s">
        <v>216</v>
      </c>
      <c r="B2" s="231">
        <v>19488827.573151845</v>
      </c>
      <c r="C2" s="231">
        <v>2064603</v>
      </c>
      <c r="D2" s="231">
        <v>13226857</v>
      </c>
      <c r="E2" s="231">
        <v>165794.69999999925</v>
      </c>
      <c r="F2" s="232">
        <v>4147019.2447668877</v>
      </c>
      <c r="G2" s="232">
        <v>2426000</v>
      </c>
      <c r="H2" s="232">
        <v>2430000</v>
      </c>
      <c r="I2" s="232">
        <v>532000</v>
      </c>
      <c r="J2" s="232">
        <v>411000</v>
      </c>
      <c r="K2" s="232">
        <v>205000</v>
      </c>
      <c r="L2" s="232">
        <v>1063000</v>
      </c>
      <c r="M2" s="232">
        <v>113000</v>
      </c>
      <c r="N2" s="232"/>
      <c r="O2" s="232"/>
    </row>
    <row r="3" spans="1:15" x14ac:dyDescent="0.2">
      <c r="A3" t="s">
        <v>509</v>
      </c>
      <c r="B3" s="231">
        <v>8269986.9534320058</v>
      </c>
      <c r="C3" s="231">
        <v>827399</v>
      </c>
      <c r="D3" s="231">
        <v>4784256</v>
      </c>
      <c r="E3" s="231">
        <v>54987.780000000261</v>
      </c>
      <c r="F3" s="232">
        <v>1016025.0064776354</v>
      </c>
      <c r="G3" s="232">
        <v>1020000</v>
      </c>
      <c r="H3" s="232">
        <v>903000</v>
      </c>
      <c r="I3" s="232">
        <v>452000</v>
      </c>
      <c r="J3" s="232">
        <v>200000</v>
      </c>
      <c r="K3" s="232">
        <v>202000</v>
      </c>
      <c r="L3" s="232"/>
      <c r="M3" s="232"/>
      <c r="N3" s="232"/>
      <c r="O3" s="232"/>
    </row>
    <row r="4" spans="1:15" x14ac:dyDescent="0.2">
      <c r="A4" t="s">
        <v>380</v>
      </c>
      <c r="B4" s="231">
        <v>18162676.891768917</v>
      </c>
      <c r="C4" s="231">
        <v>1738084</v>
      </c>
      <c r="D4" s="231">
        <v>8222856</v>
      </c>
      <c r="E4" s="231">
        <v>172458.53999999911</v>
      </c>
      <c r="F4" s="232">
        <v>3076773.2429905338</v>
      </c>
      <c r="G4" s="232">
        <v>3497000</v>
      </c>
      <c r="H4" s="232">
        <v>2699000</v>
      </c>
      <c r="I4" s="232">
        <v>1030000</v>
      </c>
      <c r="J4" s="232">
        <v>496000</v>
      </c>
      <c r="K4" s="232">
        <v>472000</v>
      </c>
      <c r="L4" s="232">
        <v>157000</v>
      </c>
      <c r="M4" s="232">
        <v>43000</v>
      </c>
      <c r="N4" s="232">
        <v>79000</v>
      </c>
      <c r="O4" s="232"/>
    </row>
    <row r="5" spans="1:15" x14ac:dyDescent="0.2">
      <c r="A5" t="s">
        <v>298</v>
      </c>
      <c r="B5" s="231">
        <v>19839906.44495675</v>
      </c>
      <c r="C5" s="231">
        <v>2466256</v>
      </c>
      <c r="D5" s="231">
        <v>15879729</v>
      </c>
      <c r="E5" s="231">
        <v>101756.37999999523</v>
      </c>
      <c r="F5" s="232">
        <v>4272391.0041288817</v>
      </c>
      <c r="G5" s="232">
        <v>1552000</v>
      </c>
      <c r="H5" s="232">
        <v>1648000</v>
      </c>
      <c r="I5" s="232">
        <v>343000</v>
      </c>
      <c r="J5" s="232">
        <v>416000</v>
      </c>
      <c r="K5" s="232">
        <v>217000</v>
      </c>
      <c r="L5" s="232">
        <v>71000</v>
      </c>
      <c r="M5" s="232">
        <v>77000</v>
      </c>
      <c r="N5" s="232"/>
      <c r="O5" s="232"/>
    </row>
    <row r="6" spans="1:15" x14ac:dyDescent="0.2">
      <c r="A6" t="s">
        <v>252</v>
      </c>
      <c r="B6" s="231">
        <v>22526214.562035549</v>
      </c>
      <c r="C6" s="231">
        <v>2425195</v>
      </c>
      <c r="D6" s="231">
        <v>18096635</v>
      </c>
      <c r="E6" s="231">
        <v>461667.40000000224</v>
      </c>
      <c r="F6" s="232">
        <v>9915902.7567830347</v>
      </c>
      <c r="G6" s="232">
        <v>2830000</v>
      </c>
      <c r="H6" s="232">
        <v>2216000</v>
      </c>
      <c r="I6" s="232">
        <v>397000</v>
      </c>
      <c r="J6" s="232">
        <v>433000</v>
      </c>
      <c r="K6" s="232">
        <v>0</v>
      </c>
      <c r="L6" s="232"/>
      <c r="M6" s="232">
        <v>5000</v>
      </c>
      <c r="N6" s="232">
        <v>45000</v>
      </c>
      <c r="O6" s="232"/>
    </row>
    <row r="7" spans="1:15" x14ac:dyDescent="0.2">
      <c r="A7" t="s">
        <v>432</v>
      </c>
      <c r="B7" s="231">
        <v>13967106.460146848</v>
      </c>
      <c r="C7" s="231">
        <v>1577537</v>
      </c>
      <c r="D7" s="231">
        <v>8779329</v>
      </c>
      <c r="E7" s="231">
        <v>161684.73999999836</v>
      </c>
      <c r="F7" s="232">
        <v>3786652.3490990577</v>
      </c>
      <c r="G7" s="232">
        <v>2050000</v>
      </c>
      <c r="H7" s="232">
        <v>2177000</v>
      </c>
      <c r="I7" s="232">
        <v>491000</v>
      </c>
      <c r="J7" s="232">
        <v>245000</v>
      </c>
      <c r="K7" s="232">
        <v>509000</v>
      </c>
      <c r="L7" s="232">
        <v>32000</v>
      </c>
      <c r="M7" s="232"/>
      <c r="N7" s="232"/>
      <c r="O7" s="232"/>
    </row>
    <row r="8" spans="1:15" x14ac:dyDescent="0.2">
      <c r="A8" t="s">
        <v>433</v>
      </c>
      <c r="B8" s="231">
        <v>15483739.907715861</v>
      </c>
      <c r="C8" s="231">
        <v>1177822</v>
      </c>
      <c r="D8" s="231">
        <v>7598500</v>
      </c>
      <c r="E8" s="231">
        <v>66636.679999999702</v>
      </c>
      <c r="F8" s="232">
        <v>3905379.4602812482</v>
      </c>
      <c r="G8" s="232">
        <v>2609000</v>
      </c>
      <c r="H8" s="232">
        <v>2794000</v>
      </c>
      <c r="I8" s="232">
        <v>391000</v>
      </c>
      <c r="J8" s="232">
        <v>443000</v>
      </c>
      <c r="K8" s="232">
        <v>306000</v>
      </c>
      <c r="L8" s="232"/>
      <c r="M8" s="232"/>
      <c r="N8" s="232"/>
      <c r="O8" s="232"/>
    </row>
    <row r="9" spans="1:15" x14ac:dyDescent="0.2">
      <c r="A9" t="s">
        <v>381</v>
      </c>
      <c r="B9" s="231">
        <v>95165404.529817998</v>
      </c>
      <c r="C9" s="231">
        <v>7869387</v>
      </c>
      <c r="D9" s="231">
        <v>72854473</v>
      </c>
      <c r="E9" s="231">
        <v>6915126.4599999785</v>
      </c>
      <c r="F9" s="232">
        <v>33464802.786529325</v>
      </c>
      <c r="G9" s="232">
        <v>10245000</v>
      </c>
      <c r="H9" s="232">
        <v>6634000</v>
      </c>
      <c r="I9" s="232">
        <v>1561000</v>
      </c>
      <c r="J9" s="232">
        <v>1835000</v>
      </c>
      <c r="K9" s="232">
        <v>539000</v>
      </c>
      <c r="L9" s="232">
        <v>65000</v>
      </c>
      <c r="M9" s="232">
        <v>21000</v>
      </c>
      <c r="N9" s="232">
        <v>893000</v>
      </c>
      <c r="O9" s="232">
        <v>8079000</v>
      </c>
    </row>
    <row r="10" spans="1:15" x14ac:dyDescent="0.2">
      <c r="A10" t="s">
        <v>274</v>
      </c>
      <c r="B10" s="231">
        <v>69266711.181997359</v>
      </c>
      <c r="C10" s="231">
        <v>6692399</v>
      </c>
      <c r="D10" s="231">
        <v>76874404</v>
      </c>
      <c r="E10" s="231">
        <v>3996197.099999994</v>
      </c>
      <c r="F10" s="232">
        <v>35190311.684026651</v>
      </c>
      <c r="G10" s="232">
        <v>8724000</v>
      </c>
      <c r="H10" s="232">
        <v>7124000</v>
      </c>
      <c r="I10" s="232">
        <v>2141000</v>
      </c>
      <c r="J10" s="232">
        <v>1324000</v>
      </c>
      <c r="K10" s="232">
        <v>390000</v>
      </c>
      <c r="L10" s="232">
        <v>255000</v>
      </c>
      <c r="M10" s="232"/>
      <c r="N10" s="232">
        <v>125000</v>
      </c>
      <c r="O10" s="232">
        <v>2242000</v>
      </c>
    </row>
    <row r="11" spans="1:15" x14ac:dyDescent="0.2">
      <c r="A11" t="s">
        <v>606</v>
      </c>
      <c r="B11" s="231">
        <v>171037011.80203104</v>
      </c>
      <c r="C11" s="231">
        <v>8783846</v>
      </c>
      <c r="D11" s="231">
        <v>144167334</v>
      </c>
      <c r="E11" s="231">
        <v>20240426.480000019</v>
      </c>
      <c r="F11" s="232">
        <v>85282467.053649038</v>
      </c>
      <c r="G11" s="232">
        <v>23917000</v>
      </c>
      <c r="H11" s="232">
        <v>10096000</v>
      </c>
      <c r="I11" s="232">
        <v>3394000</v>
      </c>
      <c r="J11" s="232">
        <v>3798000</v>
      </c>
      <c r="K11" s="232">
        <v>0</v>
      </c>
      <c r="L11" s="232"/>
      <c r="M11" s="232"/>
      <c r="N11" s="232">
        <v>2153000</v>
      </c>
      <c r="O11" s="232">
        <v>3830000</v>
      </c>
    </row>
    <row r="12" spans="1:15" x14ac:dyDescent="0.2">
      <c r="A12" t="s">
        <v>434</v>
      </c>
      <c r="B12" s="231">
        <v>82410690.263765186</v>
      </c>
      <c r="C12" s="231">
        <v>6786446</v>
      </c>
      <c r="D12" s="231">
        <v>51682916</v>
      </c>
      <c r="E12" s="231">
        <v>420931.41999998689</v>
      </c>
      <c r="F12" s="232">
        <v>20024018.310243953</v>
      </c>
      <c r="G12" s="232">
        <v>10984000</v>
      </c>
      <c r="H12" s="232">
        <v>10319000</v>
      </c>
      <c r="I12" s="232">
        <v>1797000</v>
      </c>
      <c r="J12" s="232">
        <v>1843000</v>
      </c>
      <c r="K12" s="232">
        <v>1077000</v>
      </c>
      <c r="L12" s="232">
        <v>46000</v>
      </c>
      <c r="M12" s="232"/>
      <c r="N12" s="232"/>
      <c r="O12" s="232">
        <v>3977000</v>
      </c>
    </row>
    <row r="13" spans="1:15" x14ac:dyDescent="0.2">
      <c r="A13" t="s">
        <v>510</v>
      </c>
      <c r="B13" s="231">
        <v>6347070.9999512555</v>
      </c>
      <c r="C13" s="231">
        <v>594947</v>
      </c>
      <c r="D13" s="231">
        <v>3433063</v>
      </c>
      <c r="E13" s="231">
        <v>45911.049999999814</v>
      </c>
      <c r="F13" s="232">
        <v>733475.83422591304</v>
      </c>
      <c r="G13" s="232">
        <v>982000</v>
      </c>
      <c r="H13" s="232">
        <v>1064000</v>
      </c>
      <c r="I13" s="232">
        <v>283000</v>
      </c>
      <c r="J13" s="232">
        <v>107000</v>
      </c>
      <c r="K13" s="232">
        <v>56000</v>
      </c>
      <c r="L13" s="232">
        <v>148000</v>
      </c>
      <c r="M13" s="232">
        <v>34000</v>
      </c>
      <c r="N13" s="232"/>
      <c r="O13" s="232"/>
    </row>
    <row r="14" spans="1:15" x14ac:dyDescent="0.2">
      <c r="A14" t="s">
        <v>253</v>
      </c>
      <c r="B14" s="231">
        <v>4703934.0270208912</v>
      </c>
      <c r="C14" s="231">
        <v>252474</v>
      </c>
      <c r="D14" s="231">
        <v>954815</v>
      </c>
      <c r="E14" s="231">
        <v>64849.439999999478</v>
      </c>
      <c r="F14" s="232">
        <v>139131</v>
      </c>
      <c r="G14" s="232">
        <v>1055000</v>
      </c>
      <c r="H14" s="232">
        <v>641000</v>
      </c>
      <c r="I14" s="232">
        <v>152000</v>
      </c>
      <c r="J14" s="232">
        <v>66000</v>
      </c>
      <c r="K14" s="232">
        <v>21000</v>
      </c>
      <c r="L14" s="232">
        <v>2332000</v>
      </c>
      <c r="M14" s="232">
        <v>1084000</v>
      </c>
      <c r="N14" s="232"/>
      <c r="O14" s="232"/>
    </row>
    <row r="15" spans="1:15" x14ac:dyDescent="0.2">
      <c r="A15" t="s">
        <v>354</v>
      </c>
      <c r="B15" s="231">
        <v>126060624.61137906</v>
      </c>
      <c r="C15" s="231">
        <v>8480257</v>
      </c>
      <c r="D15" s="231">
        <v>113545283</v>
      </c>
      <c r="E15" s="231">
        <v>8871343.3599999845</v>
      </c>
      <c r="F15" s="232">
        <v>39967483.564706847</v>
      </c>
      <c r="G15" s="232">
        <v>14072000</v>
      </c>
      <c r="H15" s="232">
        <v>11245000</v>
      </c>
      <c r="I15" s="232">
        <v>2728000</v>
      </c>
      <c r="J15" s="232">
        <v>2638000</v>
      </c>
      <c r="K15" s="232">
        <v>3418000</v>
      </c>
      <c r="L15" s="232">
        <v>100000</v>
      </c>
      <c r="M15" s="232"/>
      <c r="N15" s="232">
        <v>350000</v>
      </c>
      <c r="O15" s="232">
        <v>2560000</v>
      </c>
    </row>
    <row r="16" spans="1:15" x14ac:dyDescent="0.2">
      <c r="A16" t="s">
        <v>382</v>
      </c>
      <c r="B16" s="231">
        <v>60968991.479272805</v>
      </c>
      <c r="C16" s="231">
        <v>5799031</v>
      </c>
      <c r="D16" s="231">
        <v>25806788</v>
      </c>
      <c r="E16" s="231">
        <v>279581.56000000983</v>
      </c>
      <c r="F16" s="232">
        <v>17579403.713822</v>
      </c>
      <c r="G16" s="232">
        <v>8399000</v>
      </c>
      <c r="H16" s="232">
        <v>7593000</v>
      </c>
      <c r="I16" s="232">
        <v>2631000</v>
      </c>
      <c r="J16" s="232">
        <v>1626000</v>
      </c>
      <c r="K16" s="232">
        <v>3080000</v>
      </c>
      <c r="L16" s="232">
        <v>98000</v>
      </c>
      <c r="M16" s="232"/>
      <c r="N16" s="232"/>
      <c r="O16" s="232">
        <v>1914000</v>
      </c>
    </row>
    <row r="17" spans="1:15" x14ac:dyDescent="0.2">
      <c r="A17" t="s">
        <v>383</v>
      </c>
      <c r="B17" s="231">
        <v>1260508920.8677309</v>
      </c>
      <c r="C17" s="231">
        <v>48595601</v>
      </c>
      <c r="D17" s="231">
        <v>536237695</v>
      </c>
      <c r="E17" s="231">
        <v>90966078.819999933</v>
      </c>
      <c r="F17" s="232">
        <v>569994331.90994895</v>
      </c>
      <c r="G17" s="232">
        <v>107603000</v>
      </c>
      <c r="H17" s="232">
        <v>71543000</v>
      </c>
      <c r="I17" s="232">
        <v>25090000</v>
      </c>
      <c r="J17" s="232">
        <v>14713000</v>
      </c>
      <c r="K17" s="232">
        <v>3965000</v>
      </c>
      <c r="L17" s="232">
        <v>40526000</v>
      </c>
      <c r="M17" s="232"/>
      <c r="N17" s="232">
        <v>3537000</v>
      </c>
      <c r="O17" s="232">
        <v>162150000</v>
      </c>
    </row>
    <row r="18" spans="1:15" x14ac:dyDescent="0.2">
      <c r="A18" t="s">
        <v>299</v>
      </c>
      <c r="B18" s="231">
        <v>126659816.88196929</v>
      </c>
      <c r="C18" s="231">
        <v>13144508</v>
      </c>
      <c r="D18" s="231">
        <v>137555135</v>
      </c>
      <c r="E18" s="231">
        <v>8880670.8400000334</v>
      </c>
      <c r="F18" s="232">
        <v>39986767.675938092</v>
      </c>
      <c r="G18" s="232">
        <v>16717000</v>
      </c>
      <c r="H18" s="232">
        <v>11904000</v>
      </c>
      <c r="I18" s="232">
        <v>4875000</v>
      </c>
      <c r="J18" s="232">
        <v>2467000</v>
      </c>
      <c r="K18" s="232">
        <v>1497000</v>
      </c>
      <c r="L18" s="232">
        <v>1613000</v>
      </c>
      <c r="M18" s="232"/>
      <c r="N18" s="232"/>
      <c r="O18" s="232">
        <v>4246000</v>
      </c>
    </row>
    <row r="19" spans="1:15" x14ac:dyDescent="0.2">
      <c r="A19" t="s">
        <v>229</v>
      </c>
      <c r="B19" s="231">
        <v>12277680.063440984</v>
      </c>
      <c r="C19" s="231">
        <v>1566397</v>
      </c>
      <c r="D19" s="231">
        <v>11796602</v>
      </c>
      <c r="E19" s="231">
        <v>103046.41999999993</v>
      </c>
      <c r="F19" s="232">
        <v>5082125.9988256227</v>
      </c>
      <c r="G19" s="232">
        <v>1457000</v>
      </c>
      <c r="H19" s="232">
        <v>1148000</v>
      </c>
      <c r="I19" s="232">
        <v>85000</v>
      </c>
      <c r="J19" s="232">
        <v>192000</v>
      </c>
      <c r="K19" s="232">
        <v>75000</v>
      </c>
      <c r="L19" s="232"/>
      <c r="M19" s="232"/>
      <c r="N19" s="232">
        <v>70000</v>
      </c>
      <c r="O19" s="232"/>
    </row>
    <row r="20" spans="1:15" x14ac:dyDescent="0.2">
      <c r="A20" t="s">
        <v>300</v>
      </c>
      <c r="B20" s="231">
        <v>153279159.05907556</v>
      </c>
      <c r="C20" s="231">
        <v>11378531</v>
      </c>
      <c r="D20" s="231">
        <v>166503813</v>
      </c>
      <c r="E20" s="231">
        <v>16176131.460000008</v>
      </c>
      <c r="F20" s="232">
        <v>87678027.321836159</v>
      </c>
      <c r="G20" s="232">
        <v>13213000</v>
      </c>
      <c r="H20" s="232">
        <v>15028000</v>
      </c>
      <c r="I20" s="232">
        <v>4987000</v>
      </c>
      <c r="J20" s="232">
        <v>2571000</v>
      </c>
      <c r="K20" s="232">
        <v>0</v>
      </c>
      <c r="L20" s="232">
        <v>179000</v>
      </c>
      <c r="M20" s="232"/>
      <c r="N20" s="232"/>
      <c r="O20" s="232">
        <v>5619000</v>
      </c>
    </row>
    <row r="21" spans="1:15" x14ac:dyDescent="0.2">
      <c r="A21" t="s">
        <v>217</v>
      </c>
      <c r="B21" s="231">
        <v>58976341.984290019</v>
      </c>
      <c r="C21" s="231">
        <v>5572540</v>
      </c>
      <c r="D21" s="231">
        <v>82208692</v>
      </c>
      <c r="E21" s="231">
        <v>5636528.9599999934</v>
      </c>
      <c r="F21" s="232">
        <v>25842173.529882807</v>
      </c>
      <c r="G21" s="232">
        <v>5863000</v>
      </c>
      <c r="H21" s="232">
        <v>6107000</v>
      </c>
      <c r="I21" s="232">
        <v>1000000</v>
      </c>
      <c r="J21" s="232">
        <v>1082000</v>
      </c>
      <c r="K21" s="232">
        <v>679000</v>
      </c>
      <c r="L21" s="232">
        <v>325000</v>
      </c>
      <c r="M21" s="232"/>
      <c r="N21" s="232"/>
      <c r="O21" s="232">
        <v>1460000</v>
      </c>
    </row>
    <row r="22" spans="1:15" x14ac:dyDescent="0.2">
      <c r="A22" t="s">
        <v>511</v>
      </c>
      <c r="B22" s="231">
        <v>11209679.235096123</v>
      </c>
      <c r="C22" s="231">
        <v>1077106</v>
      </c>
      <c r="D22" s="231">
        <v>7299229</v>
      </c>
      <c r="E22" s="231">
        <v>120171.05000000075</v>
      </c>
      <c r="F22" s="232">
        <v>2460774.7205182109</v>
      </c>
      <c r="G22" s="232">
        <v>776000</v>
      </c>
      <c r="H22" s="232">
        <v>1552000</v>
      </c>
      <c r="I22" s="232">
        <v>570000</v>
      </c>
      <c r="J22" s="232">
        <v>303000</v>
      </c>
      <c r="K22" s="232">
        <v>0</v>
      </c>
      <c r="L22" s="232">
        <v>539000</v>
      </c>
      <c r="M22" s="232"/>
      <c r="N22" s="232">
        <v>31000</v>
      </c>
      <c r="O22" s="232"/>
    </row>
    <row r="23" spans="1:15" x14ac:dyDescent="0.2">
      <c r="A23" t="s">
        <v>512</v>
      </c>
      <c r="B23" s="231">
        <v>5521057.9063838655</v>
      </c>
      <c r="C23" s="231">
        <v>598921</v>
      </c>
      <c r="D23" s="231">
        <v>2474835</v>
      </c>
      <c r="E23" s="231">
        <v>116517.90999999922</v>
      </c>
      <c r="F23" s="232">
        <v>865291.2966565144</v>
      </c>
      <c r="G23" s="232">
        <v>531000</v>
      </c>
      <c r="H23" s="232">
        <v>503000</v>
      </c>
      <c r="I23" s="232">
        <v>387000</v>
      </c>
      <c r="J23" s="232">
        <v>128000</v>
      </c>
      <c r="K23" s="232">
        <v>0</v>
      </c>
      <c r="L23" s="232">
        <v>39000</v>
      </c>
      <c r="M23" s="232">
        <v>186000</v>
      </c>
      <c r="N23" s="232"/>
      <c r="O23" s="232"/>
    </row>
    <row r="24" spans="1:15" x14ac:dyDescent="0.2">
      <c r="A24" t="s">
        <v>355</v>
      </c>
      <c r="B24" s="231">
        <v>16822343.400103174</v>
      </c>
      <c r="C24" s="231">
        <v>2162660</v>
      </c>
      <c r="D24" s="231">
        <v>8575050</v>
      </c>
      <c r="E24" s="231">
        <v>84918.800000000745</v>
      </c>
      <c r="F24" s="232">
        <v>4060073.2982372409</v>
      </c>
      <c r="G24" s="232">
        <v>2808000</v>
      </c>
      <c r="H24" s="232">
        <v>2656000</v>
      </c>
      <c r="I24" s="232">
        <v>850000</v>
      </c>
      <c r="J24" s="232">
        <v>475000</v>
      </c>
      <c r="K24" s="232">
        <v>403000</v>
      </c>
      <c r="L24" s="232">
        <v>82000</v>
      </c>
      <c r="M24" s="232">
        <v>47000</v>
      </c>
      <c r="N24" s="232">
        <v>10000</v>
      </c>
      <c r="O24" s="232"/>
    </row>
    <row r="25" spans="1:15" x14ac:dyDescent="0.2">
      <c r="A25" t="s">
        <v>435</v>
      </c>
      <c r="B25" s="231">
        <v>34148815.109871671</v>
      </c>
      <c r="C25" s="231">
        <v>2227522</v>
      </c>
      <c r="D25" s="231">
        <v>16292434</v>
      </c>
      <c r="E25" s="231">
        <v>139273.06000000238</v>
      </c>
      <c r="F25" s="232">
        <v>6932712.8854676625</v>
      </c>
      <c r="G25" s="232">
        <v>4220000</v>
      </c>
      <c r="H25" s="232">
        <v>4128000</v>
      </c>
      <c r="I25" s="232">
        <v>710000</v>
      </c>
      <c r="J25" s="232">
        <v>810000</v>
      </c>
      <c r="K25" s="232">
        <v>366000</v>
      </c>
      <c r="L25" s="232">
        <v>25000</v>
      </c>
      <c r="M25" s="232"/>
      <c r="N25" s="232"/>
      <c r="O25" s="232"/>
    </row>
    <row r="26" spans="1:15" x14ac:dyDescent="0.2">
      <c r="A26" t="s">
        <v>301</v>
      </c>
      <c r="B26" s="231">
        <v>36660427.659766689</v>
      </c>
      <c r="C26" s="231">
        <v>2922804</v>
      </c>
      <c r="D26" s="231">
        <v>23635509</v>
      </c>
      <c r="E26" s="231">
        <v>215695.61999999732</v>
      </c>
      <c r="F26" s="232">
        <v>6269101.3092274647</v>
      </c>
      <c r="G26" s="232"/>
      <c r="H26" s="232">
        <v>0</v>
      </c>
      <c r="I26" s="232"/>
      <c r="J26" s="232"/>
      <c r="K26" s="232"/>
      <c r="L26" s="232"/>
      <c r="M26" s="232"/>
      <c r="N26" s="232"/>
      <c r="O26" s="232"/>
    </row>
    <row r="27" spans="1:15" x14ac:dyDescent="0.2">
      <c r="A27" t="s">
        <v>230</v>
      </c>
      <c r="B27" s="231">
        <v>7839924.8460682873</v>
      </c>
      <c r="C27" s="231">
        <v>868903</v>
      </c>
      <c r="D27" s="231">
        <v>5488055</v>
      </c>
      <c r="E27" s="231">
        <v>36901.639999998733</v>
      </c>
      <c r="F27" s="232">
        <v>1721017.512633526</v>
      </c>
      <c r="G27" s="232">
        <v>1063000</v>
      </c>
      <c r="H27" s="232">
        <v>995000</v>
      </c>
      <c r="I27" s="232">
        <v>168000</v>
      </c>
      <c r="J27" s="232">
        <v>207000</v>
      </c>
      <c r="K27" s="232">
        <v>143000</v>
      </c>
      <c r="L27" s="232"/>
      <c r="M27" s="232"/>
      <c r="N27" s="232"/>
      <c r="O27" s="232"/>
    </row>
    <row r="28" spans="1:15" x14ac:dyDescent="0.2">
      <c r="A28" t="s">
        <v>574</v>
      </c>
      <c r="B28" s="231">
        <v>11321665.20283426</v>
      </c>
      <c r="C28" s="231">
        <v>1500653</v>
      </c>
      <c r="D28" s="231">
        <v>9107731</v>
      </c>
      <c r="E28" s="231">
        <v>77022.160000000149</v>
      </c>
      <c r="F28" s="232">
        <v>3579213.2722663176</v>
      </c>
      <c r="G28" s="232">
        <v>1323000</v>
      </c>
      <c r="H28" s="232">
        <v>2831000</v>
      </c>
      <c r="I28" s="232">
        <v>437000</v>
      </c>
      <c r="J28" s="232">
        <v>249000</v>
      </c>
      <c r="K28" s="232">
        <v>61000</v>
      </c>
      <c r="L28" s="232">
        <v>5000</v>
      </c>
      <c r="M28" s="232"/>
      <c r="N28" s="232"/>
      <c r="O28" s="232"/>
    </row>
    <row r="29" spans="1:15" x14ac:dyDescent="0.2">
      <c r="A29" t="s">
        <v>384</v>
      </c>
      <c r="B29" s="231">
        <v>6011678.1508114701</v>
      </c>
      <c r="C29" s="231">
        <v>580595</v>
      </c>
      <c r="D29" s="231">
        <v>2909992</v>
      </c>
      <c r="E29" s="231">
        <v>133153.20000000019</v>
      </c>
      <c r="F29" s="232">
        <v>820219.33077637281</v>
      </c>
      <c r="G29" s="232">
        <v>733000</v>
      </c>
      <c r="H29" s="232">
        <v>552000</v>
      </c>
      <c r="I29" s="232">
        <v>377000</v>
      </c>
      <c r="J29" s="232">
        <v>159000</v>
      </c>
      <c r="K29" s="232">
        <v>55000</v>
      </c>
      <c r="L29" s="232">
        <v>37000</v>
      </c>
      <c r="M29" s="232"/>
      <c r="N29" s="232"/>
      <c r="O29" s="232"/>
    </row>
    <row r="30" spans="1:15" x14ac:dyDescent="0.2">
      <c r="A30" t="s">
        <v>575</v>
      </c>
      <c r="B30" s="231">
        <v>10076500.603510823</v>
      </c>
      <c r="C30" s="231">
        <v>1131664</v>
      </c>
      <c r="D30" s="231">
        <v>7740418</v>
      </c>
      <c r="E30" s="231">
        <v>45798.699999999255</v>
      </c>
      <c r="F30" s="232">
        <v>3275348.6463503083</v>
      </c>
      <c r="G30" s="232">
        <v>807000</v>
      </c>
      <c r="H30" s="232">
        <v>1281000</v>
      </c>
      <c r="I30" s="232">
        <v>150000</v>
      </c>
      <c r="J30" s="232">
        <v>207000</v>
      </c>
      <c r="K30" s="232">
        <v>39000</v>
      </c>
      <c r="L30" s="232">
        <v>520000</v>
      </c>
      <c r="M30" s="232">
        <v>2000</v>
      </c>
      <c r="N30" s="232"/>
      <c r="O30" s="232"/>
    </row>
    <row r="31" spans="1:15" x14ac:dyDescent="0.2">
      <c r="A31" t="s">
        <v>231</v>
      </c>
      <c r="B31" s="231">
        <v>8560417.8982355297</v>
      </c>
      <c r="C31" s="231">
        <v>983705</v>
      </c>
      <c r="D31" s="231">
        <v>7902300</v>
      </c>
      <c r="E31" s="231">
        <v>111029.93999999762</v>
      </c>
      <c r="F31" s="232">
        <v>2588498.3340057558</v>
      </c>
      <c r="G31" s="232">
        <v>1109000</v>
      </c>
      <c r="H31" s="232">
        <v>1420000</v>
      </c>
      <c r="I31" s="232">
        <v>100000</v>
      </c>
      <c r="J31" s="232">
        <v>142000</v>
      </c>
      <c r="K31" s="232">
        <v>5000</v>
      </c>
      <c r="L31" s="232">
        <v>81000</v>
      </c>
      <c r="M31" s="232">
        <v>16000</v>
      </c>
      <c r="N31" s="232"/>
      <c r="O31" s="232"/>
    </row>
    <row r="32" spans="1:15" x14ac:dyDescent="0.2">
      <c r="A32" t="s">
        <v>513</v>
      </c>
      <c r="B32" s="231">
        <v>11401296.771771591</v>
      </c>
      <c r="C32" s="231">
        <v>1181039</v>
      </c>
      <c r="D32" s="231">
        <v>8117847</v>
      </c>
      <c r="E32" s="231">
        <v>95153.710000000894</v>
      </c>
      <c r="F32" s="232">
        <v>1988673.1378154729</v>
      </c>
      <c r="G32" s="232">
        <v>1108000</v>
      </c>
      <c r="H32" s="232">
        <v>1470000</v>
      </c>
      <c r="I32" s="232">
        <v>504000</v>
      </c>
      <c r="J32" s="232">
        <v>310000</v>
      </c>
      <c r="K32" s="232">
        <v>14000</v>
      </c>
      <c r="L32" s="232">
        <v>809000</v>
      </c>
      <c r="M32" s="232">
        <v>12000</v>
      </c>
      <c r="N32" s="232">
        <v>2000</v>
      </c>
      <c r="O32" s="232"/>
    </row>
    <row r="33" spans="1:15" x14ac:dyDescent="0.2">
      <c r="A33" t="s">
        <v>614</v>
      </c>
      <c r="B33" s="231">
        <v>9748052.530706631</v>
      </c>
      <c r="C33" s="231">
        <v>1199911</v>
      </c>
      <c r="D33" s="231">
        <v>7182831</v>
      </c>
      <c r="E33" s="231">
        <v>88523.819999998435</v>
      </c>
      <c r="F33" s="232">
        <v>2165806.1682656338</v>
      </c>
      <c r="G33" s="232">
        <v>1030000</v>
      </c>
      <c r="H33" s="232">
        <v>1082000</v>
      </c>
      <c r="I33" s="232">
        <v>255000</v>
      </c>
      <c r="J33" s="232">
        <v>184000</v>
      </c>
      <c r="K33" s="232">
        <v>20000</v>
      </c>
      <c r="L33" s="232">
        <v>383000</v>
      </c>
      <c r="M33" s="232">
        <v>24000</v>
      </c>
      <c r="N33" s="232"/>
      <c r="O33" s="232"/>
    </row>
    <row r="34" spans="1:15" x14ac:dyDescent="0.2">
      <c r="A34" t="s">
        <v>615</v>
      </c>
      <c r="B34" s="231">
        <v>19145622.580532771</v>
      </c>
      <c r="C34" s="231">
        <v>2369494</v>
      </c>
      <c r="D34" s="231">
        <v>8409610</v>
      </c>
      <c r="E34" s="231">
        <v>137458</v>
      </c>
      <c r="F34" s="232">
        <v>3549112.9820949864</v>
      </c>
      <c r="G34" s="232">
        <v>4240000</v>
      </c>
      <c r="H34" s="232">
        <v>5641000</v>
      </c>
      <c r="I34" s="232">
        <v>576000</v>
      </c>
      <c r="J34" s="232">
        <v>579000</v>
      </c>
      <c r="K34" s="232">
        <v>420000</v>
      </c>
      <c r="L34" s="232">
        <v>1826000</v>
      </c>
      <c r="M34" s="232">
        <v>1411000</v>
      </c>
      <c r="N34" s="232"/>
      <c r="O34" s="232">
        <v>4283000</v>
      </c>
    </row>
    <row r="35" spans="1:15" x14ac:dyDescent="0.2">
      <c r="A35" t="s">
        <v>514</v>
      </c>
      <c r="B35" s="231">
        <v>57873407.282426372</v>
      </c>
      <c r="C35" s="231">
        <v>5998313</v>
      </c>
      <c r="D35" s="231">
        <v>50245888</v>
      </c>
      <c r="E35" s="231">
        <v>3049037.0600000024</v>
      </c>
      <c r="F35" s="232">
        <v>20830559.290114723</v>
      </c>
      <c r="G35" s="232">
        <v>9183000</v>
      </c>
      <c r="H35" s="232">
        <v>10159000</v>
      </c>
      <c r="I35" s="232">
        <v>1209000</v>
      </c>
      <c r="J35" s="232">
        <v>1246000</v>
      </c>
      <c r="K35" s="232">
        <v>37000</v>
      </c>
      <c r="L35" s="232">
        <v>281000</v>
      </c>
      <c r="M35" s="232"/>
      <c r="N35" s="232">
        <v>267000</v>
      </c>
      <c r="O35" s="232">
        <v>4791000</v>
      </c>
    </row>
    <row r="36" spans="1:15" x14ac:dyDescent="0.2">
      <c r="A36" t="s">
        <v>302</v>
      </c>
      <c r="B36" s="231">
        <v>32831134.889724094</v>
      </c>
      <c r="C36" s="231">
        <v>3741693</v>
      </c>
      <c r="D36" s="231">
        <v>26455725</v>
      </c>
      <c r="E36" s="231">
        <v>346419.91999999806</v>
      </c>
      <c r="F36" s="232">
        <v>7616943.5767025417</v>
      </c>
      <c r="G36" s="232">
        <v>2883000</v>
      </c>
      <c r="H36" s="232">
        <v>6007000</v>
      </c>
      <c r="I36" s="232">
        <v>600000</v>
      </c>
      <c r="J36" s="232">
        <v>699000</v>
      </c>
      <c r="K36" s="232">
        <v>328000</v>
      </c>
      <c r="L36" s="232">
        <v>275000</v>
      </c>
      <c r="M36" s="232"/>
      <c r="N36" s="232"/>
      <c r="O36" s="232"/>
    </row>
    <row r="37" spans="1:15" x14ac:dyDescent="0.2">
      <c r="A37" t="s">
        <v>515</v>
      </c>
      <c r="B37" s="231">
        <v>18080964.539062668</v>
      </c>
      <c r="C37" s="231">
        <v>1882858</v>
      </c>
      <c r="D37" s="231">
        <v>14525130</v>
      </c>
      <c r="E37" s="231">
        <v>142668.37000000104</v>
      </c>
      <c r="F37" s="232">
        <v>3151095.5984131121</v>
      </c>
      <c r="G37" s="232">
        <v>2614000</v>
      </c>
      <c r="H37" s="232">
        <v>1986000</v>
      </c>
      <c r="I37" s="232">
        <v>975000</v>
      </c>
      <c r="J37" s="232">
        <v>620000</v>
      </c>
      <c r="K37" s="232">
        <v>74000</v>
      </c>
      <c r="L37" s="232">
        <v>94000</v>
      </c>
      <c r="M37" s="232"/>
      <c r="N37" s="232">
        <v>26000</v>
      </c>
      <c r="O37" s="232"/>
    </row>
    <row r="38" spans="1:15" x14ac:dyDescent="0.2">
      <c r="A38" t="s">
        <v>516</v>
      </c>
      <c r="B38" s="231">
        <v>18954369.882983916</v>
      </c>
      <c r="C38" s="231">
        <v>1823784</v>
      </c>
      <c r="D38" s="231">
        <v>10941595</v>
      </c>
      <c r="E38" s="231">
        <v>82129.859999999404</v>
      </c>
      <c r="F38" s="232">
        <v>4836792.8220723271</v>
      </c>
      <c r="G38" s="232">
        <v>2978000</v>
      </c>
      <c r="H38" s="232">
        <v>2155000</v>
      </c>
      <c r="I38" s="232">
        <v>646000</v>
      </c>
      <c r="J38" s="232">
        <v>533000</v>
      </c>
      <c r="K38" s="232">
        <v>4000</v>
      </c>
      <c r="L38" s="232">
        <v>12000</v>
      </c>
      <c r="M38" s="232"/>
      <c r="N38" s="232">
        <v>60000</v>
      </c>
      <c r="O38" s="232"/>
    </row>
    <row r="39" spans="1:15" x14ac:dyDescent="0.2">
      <c r="A39" t="s">
        <v>303</v>
      </c>
      <c r="B39" s="231">
        <v>16344753.070076518</v>
      </c>
      <c r="C39" s="231">
        <v>1551584</v>
      </c>
      <c r="D39" s="231">
        <v>12168452</v>
      </c>
      <c r="E39" s="231">
        <v>192568.03999999911</v>
      </c>
      <c r="F39" s="232">
        <v>4841289.0818010457</v>
      </c>
      <c r="G39" s="232">
        <v>1846000</v>
      </c>
      <c r="H39" s="232">
        <v>2551000</v>
      </c>
      <c r="I39" s="232">
        <v>649000</v>
      </c>
      <c r="J39" s="232">
        <v>447000</v>
      </c>
      <c r="K39" s="232">
        <v>49000</v>
      </c>
      <c r="L39" s="232">
        <v>43000</v>
      </c>
      <c r="M39" s="232">
        <v>27000</v>
      </c>
      <c r="N39" s="232"/>
      <c r="O39" s="232"/>
    </row>
    <row r="40" spans="1:15" x14ac:dyDescent="0.2">
      <c r="A40" t="s">
        <v>385</v>
      </c>
      <c r="B40" s="231">
        <v>34649929.518872127</v>
      </c>
      <c r="C40" s="231">
        <v>3233513</v>
      </c>
      <c r="D40" s="231">
        <v>18536430</v>
      </c>
      <c r="E40" s="231">
        <v>145006.57999999821</v>
      </c>
      <c r="F40" s="232">
        <v>12769179.403886581</v>
      </c>
      <c r="G40" s="232">
        <v>4211000</v>
      </c>
      <c r="H40" s="232">
        <v>4293000</v>
      </c>
      <c r="I40" s="232">
        <v>590000</v>
      </c>
      <c r="J40" s="232">
        <v>581000</v>
      </c>
      <c r="K40" s="232">
        <v>448000</v>
      </c>
      <c r="L40" s="232">
        <v>157000</v>
      </c>
      <c r="M40" s="232"/>
      <c r="N40" s="232"/>
      <c r="O40" s="232">
        <v>2040000</v>
      </c>
    </row>
    <row r="41" spans="1:15" x14ac:dyDescent="0.2">
      <c r="A41" t="s">
        <v>438</v>
      </c>
      <c r="B41" s="231">
        <v>17111375.470654238</v>
      </c>
      <c r="C41" s="231">
        <v>1957322</v>
      </c>
      <c r="D41" s="231">
        <v>9304545</v>
      </c>
      <c r="E41" s="231">
        <v>177198.03999999911</v>
      </c>
      <c r="F41" s="232">
        <v>3077238.1953319898</v>
      </c>
      <c r="G41" s="232">
        <v>0</v>
      </c>
      <c r="H41" s="232">
        <v>2903000</v>
      </c>
      <c r="I41" s="232">
        <v>827000</v>
      </c>
      <c r="J41" s="232">
        <v>474000</v>
      </c>
      <c r="K41" s="232">
        <v>413000</v>
      </c>
      <c r="L41" s="232">
        <v>16000</v>
      </c>
      <c r="M41" s="232">
        <v>5000</v>
      </c>
      <c r="N41" s="232"/>
      <c r="O41" s="232"/>
    </row>
    <row r="42" spans="1:15" x14ac:dyDescent="0.2">
      <c r="A42" t="s">
        <v>517</v>
      </c>
      <c r="B42" s="231">
        <v>13333829.919653073</v>
      </c>
      <c r="C42" s="231">
        <v>1315294</v>
      </c>
      <c r="D42" s="231">
        <v>11409128</v>
      </c>
      <c r="E42" s="231">
        <v>151461.94999999925</v>
      </c>
      <c r="F42" s="232">
        <v>1840280.2806297489</v>
      </c>
      <c r="G42" s="232">
        <v>1020000</v>
      </c>
      <c r="H42" s="232">
        <v>2497000</v>
      </c>
      <c r="I42" s="232">
        <v>803000</v>
      </c>
      <c r="J42" s="232">
        <v>276000</v>
      </c>
      <c r="K42" s="232">
        <v>0</v>
      </c>
      <c r="L42" s="232">
        <v>954000</v>
      </c>
      <c r="M42" s="232"/>
      <c r="N42" s="232"/>
      <c r="O42" s="232"/>
    </row>
    <row r="43" spans="1:15" x14ac:dyDescent="0.2">
      <c r="A43" t="s">
        <v>386</v>
      </c>
      <c r="B43" s="231">
        <v>4710042.8938950077</v>
      </c>
      <c r="C43" s="231">
        <v>504814</v>
      </c>
      <c r="D43" s="231">
        <v>2542292</v>
      </c>
      <c r="E43" s="231">
        <v>19778.200000000186</v>
      </c>
      <c r="F43" s="232">
        <v>1216740.9401875634</v>
      </c>
      <c r="G43" s="232">
        <v>1001000</v>
      </c>
      <c r="H43" s="232">
        <v>958000</v>
      </c>
      <c r="I43" s="232">
        <v>614000</v>
      </c>
      <c r="J43" s="232">
        <v>212000</v>
      </c>
      <c r="K43" s="232">
        <v>186000</v>
      </c>
      <c r="L43" s="232">
        <v>22000</v>
      </c>
      <c r="M43" s="232"/>
      <c r="N43" s="232"/>
      <c r="O43" s="232"/>
    </row>
    <row r="44" spans="1:15" x14ac:dyDescent="0.2">
      <c r="A44" t="s">
        <v>387</v>
      </c>
      <c r="B44" s="231">
        <v>11805887.23177461</v>
      </c>
      <c r="C44" s="231">
        <v>1255912</v>
      </c>
      <c r="D44" s="231">
        <v>5021774</v>
      </c>
      <c r="E44" s="231">
        <v>56313.539999999106</v>
      </c>
      <c r="F44" s="232">
        <v>2159103.2362833065</v>
      </c>
      <c r="G44" s="232">
        <v>2318000</v>
      </c>
      <c r="H44" s="232">
        <v>3228000</v>
      </c>
      <c r="I44" s="232">
        <v>713000</v>
      </c>
      <c r="J44" s="232">
        <v>579000</v>
      </c>
      <c r="K44" s="232">
        <v>331000</v>
      </c>
      <c r="L44" s="232">
        <v>572000</v>
      </c>
      <c r="M44" s="232"/>
      <c r="N44" s="232"/>
      <c r="O44" s="232">
        <v>1003000</v>
      </c>
    </row>
    <row r="45" spans="1:15" x14ac:dyDescent="0.2">
      <c r="A45" t="s">
        <v>439</v>
      </c>
      <c r="B45" s="231">
        <v>21778524.790248621</v>
      </c>
      <c r="C45" s="231">
        <v>1898339</v>
      </c>
      <c r="D45" s="231">
        <v>11403025</v>
      </c>
      <c r="E45" s="231">
        <v>146943.76000000164</v>
      </c>
      <c r="F45" s="232">
        <v>3018047.9546785816</v>
      </c>
      <c r="G45" s="232">
        <v>3260000</v>
      </c>
      <c r="H45" s="232">
        <v>4920000</v>
      </c>
      <c r="I45" s="232">
        <v>607000</v>
      </c>
      <c r="J45" s="232">
        <v>518000</v>
      </c>
      <c r="K45" s="232">
        <v>482000</v>
      </c>
      <c r="L45" s="232">
        <v>89000</v>
      </c>
      <c r="M45" s="232">
        <v>312000</v>
      </c>
      <c r="N45" s="232"/>
      <c r="O45" s="232"/>
    </row>
    <row r="46" spans="1:15" x14ac:dyDescent="0.2">
      <c r="A46" t="s">
        <v>518</v>
      </c>
      <c r="B46" s="231">
        <v>6351138.3971304987</v>
      </c>
      <c r="C46" s="231">
        <v>611981</v>
      </c>
      <c r="D46" s="231">
        <v>4860600</v>
      </c>
      <c r="E46" s="231">
        <v>28575.61999999918</v>
      </c>
      <c r="F46" s="232">
        <v>977572.90528866323</v>
      </c>
      <c r="G46" s="232">
        <v>702000</v>
      </c>
      <c r="H46" s="232">
        <v>808000</v>
      </c>
      <c r="I46" s="232">
        <v>310000</v>
      </c>
      <c r="J46" s="232">
        <v>149000</v>
      </c>
      <c r="K46" s="232">
        <v>87000</v>
      </c>
      <c r="L46" s="232">
        <v>20000</v>
      </c>
      <c r="M46" s="232"/>
      <c r="N46" s="232"/>
      <c r="O46" s="232"/>
    </row>
    <row r="47" spans="1:15" x14ac:dyDescent="0.2">
      <c r="A47" t="s">
        <v>218</v>
      </c>
      <c r="B47" s="231">
        <v>21033699.646256343</v>
      </c>
      <c r="C47" s="231">
        <v>2196969</v>
      </c>
      <c r="D47" s="231">
        <v>16033953</v>
      </c>
      <c r="E47" s="231">
        <v>277223.46000000089</v>
      </c>
      <c r="F47" s="232">
        <v>6344991.2257066732</v>
      </c>
      <c r="G47" s="232">
        <v>2101000</v>
      </c>
      <c r="H47" s="232">
        <v>2754000</v>
      </c>
      <c r="I47" s="232">
        <v>432000</v>
      </c>
      <c r="J47" s="232">
        <v>374000</v>
      </c>
      <c r="K47" s="232">
        <v>180000</v>
      </c>
      <c r="L47" s="232">
        <v>1200000</v>
      </c>
      <c r="M47" s="232">
        <v>132000</v>
      </c>
      <c r="N47" s="232"/>
      <c r="O47" s="232"/>
    </row>
    <row r="48" spans="1:15" x14ac:dyDescent="0.2">
      <c r="A48" t="s">
        <v>275</v>
      </c>
      <c r="B48" s="231">
        <v>14934413.60405466</v>
      </c>
      <c r="C48" s="231">
        <v>1654459</v>
      </c>
      <c r="D48" s="231">
        <v>11803990</v>
      </c>
      <c r="E48" s="231">
        <v>43415.89999999851</v>
      </c>
      <c r="F48" s="232">
        <v>3836306.9492435446</v>
      </c>
      <c r="G48" s="232">
        <v>2250000</v>
      </c>
      <c r="H48" s="232">
        <v>1714000</v>
      </c>
      <c r="I48" s="232">
        <v>493000</v>
      </c>
      <c r="J48" s="232">
        <v>253000</v>
      </c>
      <c r="K48" s="232">
        <v>148000</v>
      </c>
      <c r="L48" s="232"/>
      <c r="M48" s="232"/>
      <c r="N48" s="232">
        <v>146000</v>
      </c>
      <c r="O48" s="232">
        <v>58000</v>
      </c>
    </row>
    <row r="49" spans="1:15" x14ac:dyDescent="0.2">
      <c r="A49" t="s">
        <v>496</v>
      </c>
      <c r="B49" s="231">
        <v>14581650.483143793</v>
      </c>
      <c r="C49" s="231">
        <v>1473876</v>
      </c>
      <c r="D49" s="231">
        <v>9814213</v>
      </c>
      <c r="E49" s="231">
        <v>483055.59999999963</v>
      </c>
      <c r="F49" s="232">
        <v>2788511.8145857509</v>
      </c>
      <c r="G49" s="232">
        <v>2635000</v>
      </c>
      <c r="H49" s="232">
        <v>1482000</v>
      </c>
      <c r="I49" s="232">
        <v>846000</v>
      </c>
      <c r="J49" s="232">
        <v>369000</v>
      </c>
      <c r="K49" s="232">
        <v>314000</v>
      </c>
      <c r="L49" s="232"/>
      <c r="M49" s="232">
        <v>23000</v>
      </c>
      <c r="N49" s="232"/>
      <c r="O49" s="232"/>
    </row>
    <row r="50" spans="1:15" x14ac:dyDescent="0.2">
      <c r="A50" t="s">
        <v>519</v>
      </c>
      <c r="B50" s="231">
        <v>19933558.454710659</v>
      </c>
      <c r="C50" s="231">
        <v>2124268</v>
      </c>
      <c r="D50" s="231">
        <v>15334556</v>
      </c>
      <c r="E50" s="231">
        <v>211493.11000000313</v>
      </c>
      <c r="F50" s="232">
        <v>3688947.8874739152</v>
      </c>
      <c r="G50" s="232">
        <v>1882000</v>
      </c>
      <c r="H50" s="232">
        <v>2689000</v>
      </c>
      <c r="I50" s="232">
        <v>500000</v>
      </c>
      <c r="J50" s="232">
        <v>470000</v>
      </c>
      <c r="K50" s="232">
        <v>75000</v>
      </c>
      <c r="L50" s="232">
        <v>212000</v>
      </c>
      <c r="M50" s="232">
        <v>46000</v>
      </c>
      <c r="N50" s="232">
        <v>90000</v>
      </c>
      <c r="O50" s="232"/>
    </row>
    <row r="51" spans="1:15" x14ac:dyDescent="0.2">
      <c r="A51" t="s">
        <v>520</v>
      </c>
      <c r="B51" s="231">
        <v>21944791.998330835</v>
      </c>
      <c r="C51" s="231">
        <v>2237489</v>
      </c>
      <c r="D51" s="231">
        <v>22297903</v>
      </c>
      <c r="E51" s="231">
        <v>142987.71999999508</v>
      </c>
      <c r="F51" s="232">
        <v>5052745.1030521253</v>
      </c>
      <c r="G51" s="232">
        <v>3152000</v>
      </c>
      <c r="H51" s="232">
        <v>2851000</v>
      </c>
      <c r="I51" s="232">
        <v>630000</v>
      </c>
      <c r="J51" s="232">
        <v>513000</v>
      </c>
      <c r="K51" s="232">
        <v>169000</v>
      </c>
      <c r="L51" s="232">
        <v>25000</v>
      </c>
      <c r="M51" s="232"/>
      <c r="N51" s="232">
        <v>53000</v>
      </c>
      <c r="O51" s="232">
        <v>319000</v>
      </c>
    </row>
    <row r="52" spans="1:15" x14ac:dyDescent="0.2">
      <c r="A52" t="s">
        <v>521</v>
      </c>
      <c r="B52" s="231">
        <v>148533660.41341099</v>
      </c>
      <c r="C52" s="231">
        <v>13439081</v>
      </c>
      <c r="D52" s="231">
        <v>121865029</v>
      </c>
      <c r="E52" s="231">
        <v>14211352.809999973</v>
      </c>
      <c r="F52" s="232">
        <v>57766622.653723359</v>
      </c>
      <c r="G52" s="232">
        <v>22271000</v>
      </c>
      <c r="H52" s="232">
        <v>13774000</v>
      </c>
      <c r="I52" s="232">
        <v>3736000</v>
      </c>
      <c r="J52" s="232">
        <v>2896000</v>
      </c>
      <c r="K52" s="232">
        <v>90000</v>
      </c>
      <c r="L52" s="232">
        <v>315000</v>
      </c>
      <c r="M52" s="232"/>
      <c r="N52" s="232"/>
      <c r="O52" s="232">
        <v>13597000</v>
      </c>
    </row>
    <row r="53" spans="1:15" x14ac:dyDescent="0.2">
      <c r="A53" t="s">
        <v>440</v>
      </c>
      <c r="B53" s="231">
        <v>11758240.429960432</v>
      </c>
      <c r="C53" s="231">
        <v>1079663</v>
      </c>
      <c r="D53" s="231">
        <v>4141705</v>
      </c>
      <c r="E53" s="231">
        <v>70808.520000001416</v>
      </c>
      <c r="F53" s="232">
        <v>2428767.0837922026</v>
      </c>
      <c r="G53" s="232">
        <v>1181000</v>
      </c>
      <c r="H53" s="232">
        <v>1614000</v>
      </c>
      <c r="I53" s="232">
        <v>147000</v>
      </c>
      <c r="J53" s="232">
        <v>216000</v>
      </c>
      <c r="K53" s="232">
        <v>93000</v>
      </c>
      <c r="L53" s="232">
        <v>144000</v>
      </c>
      <c r="M53" s="232">
        <v>2000</v>
      </c>
      <c r="N53" s="232">
        <v>120000</v>
      </c>
      <c r="O53" s="232"/>
    </row>
    <row r="54" spans="1:15" x14ac:dyDescent="0.2">
      <c r="A54" t="s">
        <v>304</v>
      </c>
      <c r="B54" s="231">
        <v>24041830.79157228</v>
      </c>
      <c r="C54" s="231">
        <v>3179784</v>
      </c>
      <c r="D54" s="231">
        <v>18945736</v>
      </c>
      <c r="E54" s="231">
        <v>236194.8599999994</v>
      </c>
      <c r="F54" s="232">
        <v>3750395.2408786127</v>
      </c>
      <c r="G54" s="232">
        <v>3139000</v>
      </c>
      <c r="H54" s="232">
        <v>4043000</v>
      </c>
      <c r="I54" s="232">
        <v>1146000</v>
      </c>
      <c r="J54" s="232">
        <v>661000</v>
      </c>
      <c r="K54" s="232">
        <v>398000</v>
      </c>
      <c r="L54" s="232">
        <v>270000</v>
      </c>
      <c r="M54" s="232">
        <v>46000</v>
      </c>
      <c r="N54" s="232"/>
      <c r="O54" s="232"/>
    </row>
    <row r="55" spans="1:15" x14ac:dyDescent="0.2">
      <c r="A55" t="s">
        <v>305</v>
      </c>
      <c r="B55" s="231">
        <v>14451705.179410273</v>
      </c>
      <c r="C55" s="231">
        <v>1863056</v>
      </c>
      <c r="D55" s="231">
        <v>11486767</v>
      </c>
      <c r="E55" s="231">
        <v>86189.459999999031</v>
      </c>
      <c r="F55" s="232">
        <v>3745219.3987563066</v>
      </c>
      <c r="G55" s="232">
        <v>2138000</v>
      </c>
      <c r="H55" s="232">
        <v>3955000</v>
      </c>
      <c r="I55" s="232">
        <v>363000</v>
      </c>
      <c r="J55" s="232">
        <v>373000</v>
      </c>
      <c r="K55" s="232">
        <v>127000</v>
      </c>
      <c r="L55" s="232">
        <v>654000</v>
      </c>
      <c r="M55" s="232"/>
      <c r="N55" s="232"/>
      <c r="O55" s="232"/>
    </row>
    <row r="56" spans="1:15" x14ac:dyDescent="0.2">
      <c r="A56" t="s">
        <v>576</v>
      </c>
      <c r="B56" s="231">
        <v>26154896.392559618</v>
      </c>
      <c r="C56" s="231">
        <v>3469173</v>
      </c>
      <c r="D56" s="231">
        <v>27987716</v>
      </c>
      <c r="E56" s="231">
        <v>211898.28000000119</v>
      </c>
      <c r="F56" s="232">
        <v>13323906.677556867</v>
      </c>
      <c r="G56" s="232">
        <v>3075000</v>
      </c>
      <c r="H56" s="232">
        <v>3900000</v>
      </c>
      <c r="I56" s="232">
        <v>579000</v>
      </c>
      <c r="J56" s="232">
        <v>439000</v>
      </c>
      <c r="K56" s="232">
        <v>143000</v>
      </c>
      <c r="L56" s="232">
        <v>34000</v>
      </c>
      <c r="M56" s="232"/>
      <c r="N56" s="232">
        <v>37000</v>
      </c>
      <c r="O56" s="232"/>
    </row>
    <row r="57" spans="1:15" x14ac:dyDescent="0.2">
      <c r="A57" t="s">
        <v>356</v>
      </c>
      <c r="B57" s="231">
        <v>8360281.5246568471</v>
      </c>
      <c r="C57" s="231">
        <v>851986</v>
      </c>
      <c r="D57" s="231">
        <v>4069600</v>
      </c>
      <c r="E57" s="231">
        <v>64264.699999999255</v>
      </c>
      <c r="F57" s="232">
        <v>1297006.6857432344</v>
      </c>
      <c r="G57" s="232"/>
      <c r="H57" s="232">
        <v>0</v>
      </c>
      <c r="I57" s="232"/>
      <c r="J57" s="232"/>
      <c r="K57" s="232"/>
      <c r="L57" s="232"/>
      <c r="M57" s="232"/>
      <c r="N57" s="232"/>
      <c r="O57" s="232"/>
    </row>
    <row r="58" spans="1:15" x14ac:dyDescent="0.2">
      <c r="A58" t="s">
        <v>357</v>
      </c>
      <c r="B58" s="231">
        <v>11970025.540114945</v>
      </c>
      <c r="C58" s="231">
        <v>995612</v>
      </c>
      <c r="D58" s="231">
        <v>6117016</v>
      </c>
      <c r="E58" s="231">
        <v>89704.979999998584</v>
      </c>
      <c r="F58" s="232">
        <v>1799486.4792175391</v>
      </c>
      <c r="G58" s="232">
        <v>1001000</v>
      </c>
      <c r="H58" s="232">
        <v>984000</v>
      </c>
      <c r="I58" s="232">
        <v>501000</v>
      </c>
      <c r="J58" s="232">
        <v>373000</v>
      </c>
      <c r="K58" s="232">
        <v>357000</v>
      </c>
      <c r="L58" s="232"/>
      <c r="M58" s="232">
        <v>8000</v>
      </c>
      <c r="N58" s="232"/>
      <c r="O58" s="232"/>
    </row>
    <row r="59" spans="1:15" x14ac:dyDescent="0.2">
      <c r="A59" t="s">
        <v>306</v>
      </c>
      <c r="B59" s="231">
        <v>15927952.357526932</v>
      </c>
      <c r="C59" s="231">
        <v>1433600</v>
      </c>
      <c r="D59" s="231">
        <v>9699183</v>
      </c>
      <c r="E59" s="231">
        <v>226487.5</v>
      </c>
      <c r="F59" s="232">
        <v>2645222.0695908517</v>
      </c>
      <c r="G59" s="232">
        <v>0</v>
      </c>
      <c r="H59" s="232">
        <v>2546000</v>
      </c>
      <c r="I59" s="232">
        <v>1120000</v>
      </c>
      <c r="J59" s="232">
        <v>355000</v>
      </c>
      <c r="K59" s="232">
        <v>424000</v>
      </c>
      <c r="L59" s="232">
        <v>182000</v>
      </c>
      <c r="M59" s="232"/>
      <c r="N59" s="232"/>
      <c r="O59" s="232"/>
    </row>
    <row r="60" spans="1:15" x14ac:dyDescent="0.2">
      <c r="A60" t="s">
        <v>388</v>
      </c>
      <c r="B60" s="231">
        <v>25598220.024928808</v>
      </c>
      <c r="C60" s="231">
        <v>2284402</v>
      </c>
      <c r="D60" s="231">
        <v>11174696</v>
      </c>
      <c r="E60" s="231">
        <v>83547.960000000894</v>
      </c>
      <c r="F60" s="232">
        <v>6001478.3809830714</v>
      </c>
      <c r="G60" s="232">
        <v>3210000</v>
      </c>
      <c r="H60" s="232">
        <v>3904000</v>
      </c>
      <c r="I60" s="232">
        <v>330000</v>
      </c>
      <c r="J60" s="232">
        <v>644000</v>
      </c>
      <c r="K60" s="232">
        <v>464000</v>
      </c>
      <c r="L60" s="232">
        <v>61000</v>
      </c>
      <c r="M60" s="232"/>
      <c r="N60" s="232">
        <v>210000</v>
      </c>
      <c r="O60" s="232">
        <v>1349000</v>
      </c>
    </row>
    <row r="61" spans="1:15" x14ac:dyDescent="0.2">
      <c r="A61" t="s">
        <v>441</v>
      </c>
      <c r="B61" s="231">
        <v>61346157.114405908</v>
      </c>
      <c r="C61" s="231">
        <v>5030459</v>
      </c>
      <c r="D61" s="231">
        <v>35441650</v>
      </c>
      <c r="E61" s="231">
        <v>184288.75999999791</v>
      </c>
      <c r="F61" s="232">
        <v>30066448.579548217</v>
      </c>
      <c r="G61" s="232">
        <v>8028000</v>
      </c>
      <c r="H61" s="232">
        <v>4974000</v>
      </c>
      <c r="I61" s="232">
        <v>228000</v>
      </c>
      <c r="J61" s="232">
        <v>1025000</v>
      </c>
      <c r="K61" s="232">
        <v>0</v>
      </c>
      <c r="L61" s="232">
        <v>44000</v>
      </c>
      <c r="M61" s="232"/>
      <c r="N61" s="232"/>
      <c r="O61" s="232"/>
    </row>
    <row r="62" spans="1:15" x14ac:dyDescent="0.2">
      <c r="A62" t="s">
        <v>389</v>
      </c>
      <c r="B62" s="231">
        <v>22581420.266683269</v>
      </c>
      <c r="C62" s="231">
        <v>2340904</v>
      </c>
      <c r="D62" s="231">
        <v>8836986</v>
      </c>
      <c r="E62" s="231">
        <v>145959.32000000402</v>
      </c>
      <c r="F62" s="232">
        <v>3461208.5684183617</v>
      </c>
      <c r="G62" s="232">
        <v>3327000</v>
      </c>
      <c r="H62" s="232">
        <v>2910000</v>
      </c>
      <c r="I62" s="232">
        <v>710000</v>
      </c>
      <c r="J62" s="232">
        <v>588000</v>
      </c>
      <c r="K62" s="232">
        <v>110000</v>
      </c>
      <c r="L62" s="232">
        <v>717000</v>
      </c>
      <c r="M62" s="232">
        <v>22000</v>
      </c>
      <c r="N62" s="232">
        <v>60000</v>
      </c>
      <c r="O62" s="232"/>
    </row>
    <row r="63" spans="1:15" x14ac:dyDescent="0.2">
      <c r="A63" t="s">
        <v>219</v>
      </c>
      <c r="B63" s="231">
        <v>30131530.478893884</v>
      </c>
      <c r="C63" s="231">
        <v>3292698</v>
      </c>
      <c r="D63" s="231">
        <v>21032475</v>
      </c>
      <c r="E63" s="231">
        <v>394823.94000000507</v>
      </c>
      <c r="F63" s="232">
        <v>10869409.420187918</v>
      </c>
      <c r="G63" s="232">
        <v>4184000</v>
      </c>
      <c r="H63" s="232">
        <v>3104000</v>
      </c>
      <c r="I63" s="232">
        <v>651000</v>
      </c>
      <c r="J63" s="232">
        <v>490000</v>
      </c>
      <c r="K63" s="232">
        <v>475000</v>
      </c>
      <c r="L63" s="232">
        <v>1448000</v>
      </c>
      <c r="M63" s="232">
        <v>88000</v>
      </c>
      <c r="N63" s="232">
        <v>77000</v>
      </c>
      <c r="O63" s="232"/>
    </row>
    <row r="64" spans="1:15" x14ac:dyDescent="0.2">
      <c r="A64" t="s">
        <v>522</v>
      </c>
      <c r="B64" s="231">
        <v>13414607.809841635</v>
      </c>
      <c r="C64" s="231">
        <v>1515641</v>
      </c>
      <c r="D64" s="231">
        <v>8497890</v>
      </c>
      <c r="E64" s="231">
        <v>139558.56000000052</v>
      </c>
      <c r="F64" s="232">
        <v>3004394.0178597271</v>
      </c>
      <c r="G64" s="232">
        <v>1655000</v>
      </c>
      <c r="H64" s="232">
        <v>1523000</v>
      </c>
      <c r="I64" s="232">
        <v>641000</v>
      </c>
      <c r="J64" s="232">
        <v>401000</v>
      </c>
      <c r="K64" s="232">
        <v>139000</v>
      </c>
      <c r="L64" s="232">
        <v>100000</v>
      </c>
      <c r="M64" s="232"/>
      <c r="N64" s="232">
        <v>30000</v>
      </c>
      <c r="O64" s="232"/>
    </row>
    <row r="65" spans="1:15" x14ac:dyDescent="0.2">
      <c r="A65" t="s">
        <v>442</v>
      </c>
      <c r="B65" s="231">
        <v>8041619.4613355035</v>
      </c>
      <c r="C65" s="231">
        <v>918564</v>
      </c>
      <c r="D65" s="231">
        <v>4285517</v>
      </c>
      <c r="E65" s="231">
        <v>97292.139999999665</v>
      </c>
      <c r="F65" s="232">
        <v>874652.32706516259</v>
      </c>
      <c r="G65" s="232">
        <v>0</v>
      </c>
      <c r="H65" s="232">
        <v>1076000</v>
      </c>
      <c r="I65" s="232">
        <v>212000</v>
      </c>
      <c r="J65" s="232">
        <v>219000</v>
      </c>
      <c r="K65" s="232">
        <v>285000</v>
      </c>
      <c r="L65" s="232">
        <v>52000</v>
      </c>
      <c r="M65" s="232"/>
      <c r="N65" s="232"/>
      <c r="O65" s="232"/>
    </row>
    <row r="66" spans="1:15" x14ac:dyDescent="0.2">
      <c r="A66" t="s">
        <v>523</v>
      </c>
      <c r="B66" s="231">
        <v>18014601.288131762</v>
      </c>
      <c r="C66" s="231">
        <v>1991059</v>
      </c>
      <c r="D66" s="231">
        <v>17031172</v>
      </c>
      <c r="E66" s="231">
        <v>294567.85999999568</v>
      </c>
      <c r="F66" s="232">
        <v>5179475.4012255175</v>
      </c>
      <c r="G66" s="232">
        <v>1366000</v>
      </c>
      <c r="H66" s="232">
        <v>2388000</v>
      </c>
      <c r="I66" s="232">
        <v>859000</v>
      </c>
      <c r="J66" s="232">
        <v>432000</v>
      </c>
      <c r="K66" s="232">
        <v>124000</v>
      </c>
      <c r="L66" s="232">
        <v>108000</v>
      </c>
      <c r="M66" s="232"/>
      <c r="N66" s="232">
        <v>85000</v>
      </c>
      <c r="O66" s="232">
        <v>129000</v>
      </c>
    </row>
    <row r="67" spans="1:15" x14ac:dyDescent="0.2">
      <c r="A67" t="s">
        <v>307</v>
      </c>
      <c r="B67" s="231">
        <v>24188749.491378348</v>
      </c>
      <c r="C67" s="231">
        <v>1713255</v>
      </c>
      <c r="D67" s="231">
        <v>13328204</v>
      </c>
      <c r="E67" s="231">
        <v>154532.58000000194</v>
      </c>
      <c r="F67" s="232">
        <v>7363489.8235325972</v>
      </c>
      <c r="G67" s="232">
        <v>0</v>
      </c>
      <c r="H67" s="232">
        <v>3404000</v>
      </c>
      <c r="I67" s="232">
        <v>540000</v>
      </c>
      <c r="J67" s="232">
        <v>478000</v>
      </c>
      <c r="K67" s="232">
        <v>0</v>
      </c>
      <c r="L67" s="232">
        <v>40000</v>
      </c>
      <c r="M67" s="232"/>
      <c r="N67" s="232">
        <v>11000</v>
      </c>
      <c r="O67" s="232">
        <v>630000</v>
      </c>
    </row>
    <row r="68" spans="1:15" x14ac:dyDescent="0.2">
      <c r="A68" t="s">
        <v>276</v>
      </c>
      <c r="B68" s="231">
        <v>17085329.853980254</v>
      </c>
      <c r="C68" s="231">
        <v>1886019</v>
      </c>
      <c r="D68" s="231">
        <v>12659869</v>
      </c>
      <c r="E68" s="231">
        <v>124334.01999999955</v>
      </c>
      <c r="F68" s="232">
        <v>2354131.3748441632</v>
      </c>
      <c r="G68" s="232">
        <v>1921000</v>
      </c>
      <c r="H68" s="232">
        <v>1361000</v>
      </c>
      <c r="I68" s="232">
        <v>609000</v>
      </c>
      <c r="J68" s="232">
        <v>448000</v>
      </c>
      <c r="K68" s="232">
        <v>223000</v>
      </c>
      <c r="L68" s="232">
        <v>171000</v>
      </c>
      <c r="M68" s="232"/>
      <c r="N68" s="232"/>
      <c r="O68" s="232"/>
    </row>
    <row r="69" spans="1:15" x14ac:dyDescent="0.2">
      <c r="A69" t="s">
        <v>254</v>
      </c>
      <c r="B69" s="231">
        <v>15574306.606812833</v>
      </c>
      <c r="C69" s="231">
        <v>1840845</v>
      </c>
      <c r="D69" s="231">
        <v>12786906</v>
      </c>
      <c r="E69" s="231">
        <v>197541.54000000097</v>
      </c>
      <c r="F69" s="232">
        <v>6625817.990330413</v>
      </c>
      <c r="G69" s="232">
        <v>1477000</v>
      </c>
      <c r="H69" s="232">
        <v>1487000</v>
      </c>
      <c r="I69" s="232">
        <v>169000</v>
      </c>
      <c r="J69" s="232">
        <v>213000</v>
      </c>
      <c r="K69" s="232">
        <v>176000</v>
      </c>
      <c r="L69" s="232"/>
      <c r="M69" s="232"/>
      <c r="N69" s="232"/>
      <c r="O69" s="232"/>
    </row>
    <row r="70" spans="1:15" x14ac:dyDescent="0.2">
      <c r="A70" t="s">
        <v>358</v>
      </c>
      <c r="B70" s="231">
        <v>27150543.382406391</v>
      </c>
      <c r="C70" s="231">
        <v>3014914</v>
      </c>
      <c r="D70" s="231">
        <v>13724611</v>
      </c>
      <c r="E70" s="231">
        <v>121525.6400000006</v>
      </c>
      <c r="F70" s="232">
        <v>5803078.8650861979</v>
      </c>
      <c r="G70" s="232">
        <v>3743000</v>
      </c>
      <c r="H70" s="232">
        <v>5402000</v>
      </c>
      <c r="I70" s="232">
        <v>1261000</v>
      </c>
      <c r="J70" s="232">
        <v>699000</v>
      </c>
      <c r="K70" s="232">
        <v>498000</v>
      </c>
      <c r="L70" s="232">
        <v>153000</v>
      </c>
      <c r="M70" s="232"/>
      <c r="N70" s="232"/>
      <c r="O70" s="232"/>
    </row>
    <row r="71" spans="1:15" x14ac:dyDescent="0.2">
      <c r="A71" t="s">
        <v>255</v>
      </c>
      <c r="B71" s="231">
        <v>41522783.213011868</v>
      </c>
      <c r="C71" s="231">
        <v>3917566</v>
      </c>
      <c r="D71" s="231">
        <v>21878343</v>
      </c>
      <c r="E71" s="231">
        <v>627907.50999999791</v>
      </c>
      <c r="F71" s="232">
        <v>11177151.352107381</v>
      </c>
      <c r="G71" s="232"/>
      <c r="H71" s="232">
        <v>0</v>
      </c>
      <c r="I71" s="232"/>
      <c r="J71" s="232"/>
      <c r="K71" s="232"/>
      <c r="L71" s="232"/>
      <c r="M71" s="232"/>
      <c r="N71" s="232"/>
      <c r="O71" s="232"/>
    </row>
    <row r="72" spans="1:15" x14ac:dyDescent="0.2">
      <c r="A72" t="s">
        <v>232</v>
      </c>
      <c r="B72" s="231">
        <v>10565154.171179364</v>
      </c>
      <c r="C72" s="231">
        <v>1016443</v>
      </c>
      <c r="D72" s="231">
        <v>7207902</v>
      </c>
      <c r="E72" s="231">
        <v>162992.11999999918</v>
      </c>
      <c r="F72" s="232">
        <v>3014550.5854877257</v>
      </c>
      <c r="G72" s="232">
        <v>1376000</v>
      </c>
      <c r="H72" s="232">
        <v>1702000</v>
      </c>
      <c r="I72" s="232">
        <v>292000</v>
      </c>
      <c r="J72" s="232">
        <v>147000</v>
      </c>
      <c r="K72" s="232">
        <v>140000</v>
      </c>
      <c r="L72" s="232">
        <v>381000</v>
      </c>
      <c r="M72" s="232">
        <v>174000</v>
      </c>
      <c r="N72" s="232"/>
      <c r="O72" s="232"/>
    </row>
    <row r="73" spans="1:15" x14ac:dyDescent="0.2">
      <c r="A73" t="s">
        <v>359</v>
      </c>
      <c r="B73" s="231">
        <v>27869319.906361416</v>
      </c>
      <c r="C73" s="231">
        <v>2285184</v>
      </c>
      <c r="D73" s="231">
        <v>12117138</v>
      </c>
      <c r="E73" s="231">
        <v>288009.15999999642</v>
      </c>
      <c r="F73" s="232">
        <v>5143304.6635926561</v>
      </c>
      <c r="G73" s="232">
        <v>3315000</v>
      </c>
      <c r="H73" s="232">
        <v>4230000</v>
      </c>
      <c r="I73" s="232">
        <v>872000</v>
      </c>
      <c r="J73" s="232">
        <v>600000</v>
      </c>
      <c r="K73" s="232">
        <v>309000</v>
      </c>
      <c r="L73" s="232">
        <v>187000</v>
      </c>
      <c r="M73" s="232">
        <v>192000</v>
      </c>
      <c r="N73" s="232"/>
      <c r="O73" s="232">
        <v>13000</v>
      </c>
    </row>
    <row r="74" spans="1:15" x14ac:dyDescent="0.2">
      <c r="A74" t="s">
        <v>227</v>
      </c>
      <c r="B74" s="231">
        <v>16523794.469112754</v>
      </c>
      <c r="C74" s="231">
        <v>1928583</v>
      </c>
      <c r="D74" s="231">
        <v>9698477</v>
      </c>
      <c r="E74" s="231">
        <v>230681.1400000006</v>
      </c>
      <c r="F74" s="232">
        <v>2615802.3275278136</v>
      </c>
      <c r="G74" s="232">
        <v>2056000</v>
      </c>
      <c r="H74" s="232">
        <v>2656000</v>
      </c>
      <c r="I74" s="232">
        <v>643000</v>
      </c>
      <c r="J74" s="232">
        <v>367000</v>
      </c>
      <c r="K74" s="232">
        <v>266000</v>
      </c>
      <c r="L74" s="232">
        <v>316000</v>
      </c>
      <c r="M74" s="232">
        <v>130000</v>
      </c>
      <c r="N74" s="232"/>
      <c r="O74" s="232"/>
    </row>
    <row r="75" spans="1:15" x14ac:dyDescent="0.2">
      <c r="A75" t="s">
        <v>443</v>
      </c>
      <c r="B75" s="231">
        <v>98820403.325688049</v>
      </c>
      <c r="C75" s="231">
        <v>6831047</v>
      </c>
      <c r="D75" s="231">
        <v>66247591</v>
      </c>
      <c r="E75" s="231">
        <v>4375185.1599999815</v>
      </c>
      <c r="F75" s="232">
        <v>48556051.439586863</v>
      </c>
      <c r="G75" s="232">
        <v>12369000</v>
      </c>
      <c r="H75" s="232">
        <v>11324000</v>
      </c>
      <c r="I75" s="232">
        <v>2264000</v>
      </c>
      <c r="J75" s="232">
        <v>2020000</v>
      </c>
      <c r="K75" s="232">
        <v>1058000</v>
      </c>
      <c r="L75" s="232">
        <v>536000</v>
      </c>
      <c r="M75" s="232"/>
      <c r="N75" s="232">
        <v>205000</v>
      </c>
      <c r="O75" s="232">
        <v>5775000</v>
      </c>
    </row>
    <row r="76" spans="1:15" x14ac:dyDescent="0.2">
      <c r="A76" t="s">
        <v>233</v>
      </c>
      <c r="B76" s="231">
        <v>25298484.372489724</v>
      </c>
      <c r="C76" s="231">
        <v>2933359</v>
      </c>
      <c r="D76" s="231">
        <v>20259293</v>
      </c>
      <c r="E76" s="231">
        <v>472455.63999999687</v>
      </c>
      <c r="F76" s="232">
        <v>12468436.62996972</v>
      </c>
      <c r="G76" s="232">
        <v>3129000</v>
      </c>
      <c r="H76" s="232">
        <v>3089000</v>
      </c>
      <c r="I76" s="232">
        <v>252000</v>
      </c>
      <c r="J76" s="232">
        <v>380000</v>
      </c>
      <c r="K76" s="232">
        <v>185000</v>
      </c>
      <c r="L76" s="232">
        <v>99000</v>
      </c>
      <c r="M76" s="232"/>
      <c r="N76" s="232"/>
      <c r="O76" s="232"/>
    </row>
    <row r="77" spans="1:15" x14ac:dyDescent="0.2">
      <c r="A77" t="s">
        <v>390</v>
      </c>
      <c r="B77" s="231">
        <v>52582364.60954909</v>
      </c>
      <c r="C77" s="231">
        <v>5408154</v>
      </c>
      <c r="D77" s="231">
        <v>45670815</v>
      </c>
      <c r="E77" s="231">
        <v>3045528.0799999982</v>
      </c>
      <c r="F77" s="232">
        <v>23191684.782776907</v>
      </c>
      <c r="G77" s="232">
        <v>7612000</v>
      </c>
      <c r="H77" s="232">
        <v>5278000</v>
      </c>
      <c r="I77" s="232">
        <v>1338000</v>
      </c>
      <c r="J77" s="232">
        <v>973000</v>
      </c>
      <c r="K77" s="232">
        <v>476000</v>
      </c>
      <c r="L77" s="232">
        <v>792000</v>
      </c>
      <c r="M77" s="232">
        <v>652000</v>
      </c>
      <c r="N77" s="232"/>
      <c r="O77" s="232">
        <v>1068000</v>
      </c>
    </row>
    <row r="78" spans="1:15" x14ac:dyDescent="0.2">
      <c r="A78" t="s">
        <v>524</v>
      </c>
      <c r="B78" s="231">
        <v>22399883.471689258</v>
      </c>
      <c r="C78" s="231">
        <v>2433557</v>
      </c>
      <c r="D78" s="231">
        <v>16323311</v>
      </c>
      <c r="E78" s="231">
        <v>131808.73999999836</v>
      </c>
      <c r="F78" s="232">
        <v>4855972.3242609985</v>
      </c>
      <c r="G78" s="232">
        <v>1901000</v>
      </c>
      <c r="H78" s="232">
        <v>3921000</v>
      </c>
      <c r="I78" s="232">
        <v>1049000</v>
      </c>
      <c r="J78" s="232">
        <v>455000</v>
      </c>
      <c r="K78" s="232">
        <v>88000</v>
      </c>
      <c r="L78" s="232">
        <v>167000</v>
      </c>
      <c r="M78" s="232"/>
      <c r="N78" s="232">
        <v>65000</v>
      </c>
      <c r="O78" s="232">
        <v>711000</v>
      </c>
    </row>
    <row r="79" spans="1:15" x14ac:dyDescent="0.2">
      <c r="A79" t="s">
        <v>277</v>
      </c>
      <c r="B79" s="231">
        <v>84066226.16660744</v>
      </c>
      <c r="C79" s="231">
        <v>7627912</v>
      </c>
      <c r="D79" s="231">
        <v>73507061</v>
      </c>
      <c r="E79" s="231">
        <v>5116737.0400000215</v>
      </c>
      <c r="F79" s="232">
        <v>33924395.243942253</v>
      </c>
      <c r="G79" s="232">
        <v>13020000</v>
      </c>
      <c r="H79" s="232">
        <v>8190000</v>
      </c>
      <c r="I79" s="232">
        <v>2478000</v>
      </c>
      <c r="J79" s="232">
        <v>1558000</v>
      </c>
      <c r="K79" s="232">
        <v>139000</v>
      </c>
      <c r="L79" s="232">
        <v>110000</v>
      </c>
      <c r="M79" s="232"/>
      <c r="N79" s="232">
        <v>213000</v>
      </c>
      <c r="O79" s="232">
        <v>4625000</v>
      </c>
    </row>
    <row r="80" spans="1:15" x14ac:dyDescent="0.2">
      <c r="A80" t="s">
        <v>391</v>
      </c>
      <c r="B80" s="231">
        <v>20984491.74084086</v>
      </c>
      <c r="C80" s="231">
        <v>1560501</v>
      </c>
      <c r="D80" s="231">
        <v>9227798</v>
      </c>
      <c r="E80" s="231">
        <v>146563.37999999896</v>
      </c>
      <c r="F80" s="232">
        <v>7937903.6601673393</v>
      </c>
      <c r="G80" s="232">
        <v>3995000</v>
      </c>
      <c r="H80" s="232">
        <v>3009000</v>
      </c>
      <c r="I80" s="232">
        <v>628000</v>
      </c>
      <c r="J80" s="232">
        <v>430000</v>
      </c>
      <c r="K80" s="232">
        <v>50000</v>
      </c>
      <c r="L80" s="232">
        <v>44000</v>
      </c>
      <c r="M80" s="232"/>
      <c r="N80" s="232">
        <v>145000</v>
      </c>
      <c r="O80" s="232">
        <v>585000</v>
      </c>
    </row>
    <row r="81" spans="1:15" x14ac:dyDescent="0.2">
      <c r="A81" t="s">
        <v>278</v>
      </c>
      <c r="B81" s="231">
        <v>16565640.652806595</v>
      </c>
      <c r="C81" s="231">
        <v>1756620</v>
      </c>
      <c r="D81" s="231">
        <v>11105385</v>
      </c>
      <c r="E81" s="231">
        <v>158423</v>
      </c>
      <c r="F81" s="232">
        <v>2489055.8958260254</v>
      </c>
      <c r="G81" s="232">
        <v>1790000</v>
      </c>
      <c r="H81" s="232">
        <v>2580000</v>
      </c>
      <c r="I81" s="232">
        <v>832000</v>
      </c>
      <c r="J81" s="232">
        <v>413000</v>
      </c>
      <c r="K81" s="232">
        <v>0</v>
      </c>
      <c r="L81" s="232">
        <v>350000</v>
      </c>
      <c r="M81" s="232">
        <v>140000</v>
      </c>
      <c r="N81" s="232"/>
      <c r="O81" s="232"/>
    </row>
    <row r="82" spans="1:15" x14ac:dyDescent="0.2">
      <c r="A82" t="s">
        <v>308</v>
      </c>
      <c r="B82" s="231">
        <v>9865865.0350835212</v>
      </c>
      <c r="C82" s="231">
        <v>1120762</v>
      </c>
      <c r="D82" s="231">
        <v>8629198</v>
      </c>
      <c r="E82" s="231">
        <v>74392.839999999851</v>
      </c>
      <c r="F82" s="232">
        <v>4287663.4954550266</v>
      </c>
      <c r="G82" s="232">
        <v>1245000</v>
      </c>
      <c r="H82" s="232">
        <v>846000</v>
      </c>
      <c r="I82" s="232">
        <v>160000</v>
      </c>
      <c r="J82" s="232">
        <v>189000</v>
      </c>
      <c r="K82" s="232">
        <v>66000</v>
      </c>
      <c r="L82" s="232">
        <v>149000</v>
      </c>
      <c r="M82" s="232"/>
      <c r="N82" s="232"/>
      <c r="O82" s="232">
        <v>349000</v>
      </c>
    </row>
    <row r="83" spans="1:15" x14ac:dyDescent="0.2">
      <c r="A83" t="s">
        <v>309</v>
      </c>
      <c r="B83" s="231">
        <v>45152913.847512566</v>
      </c>
      <c r="C83" s="231">
        <v>4994172</v>
      </c>
      <c r="D83" s="231">
        <v>63817466</v>
      </c>
      <c r="E83" s="231">
        <v>4853283.8400000036</v>
      </c>
      <c r="F83" s="232">
        <v>13646565.382375719</v>
      </c>
      <c r="G83" s="232">
        <v>5845000</v>
      </c>
      <c r="H83" s="232">
        <v>5179000</v>
      </c>
      <c r="I83" s="232">
        <v>1892000</v>
      </c>
      <c r="J83" s="232">
        <v>787000</v>
      </c>
      <c r="K83" s="232">
        <v>268000</v>
      </c>
      <c r="L83" s="232"/>
      <c r="M83" s="232"/>
      <c r="N83" s="232">
        <v>168000</v>
      </c>
      <c r="O83" s="232">
        <v>4097000</v>
      </c>
    </row>
    <row r="84" spans="1:15" x14ac:dyDescent="0.2">
      <c r="A84" t="s">
        <v>525</v>
      </c>
      <c r="B84" s="231">
        <v>16943216.161486004</v>
      </c>
      <c r="C84" s="231">
        <v>1923473</v>
      </c>
      <c r="D84" s="231">
        <v>10008654</v>
      </c>
      <c r="E84" s="231">
        <v>86793.739999998361</v>
      </c>
      <c r="F84" s="232">
        <v>3694035.9934959477</v>
      </c>
      <c r="G84" s="232">
        <v>2784000</v>
      </c>
      <c r="H84" s="232">
        <v>1689000</v>
      </c>
      <c r="I84" s="232">
        <v>315000</v>
      </c>
      <c r="J84" s="232">
        <v>363000</v>
      </c>
      <c r="K84" s="232">
        <v>163000</v>
      </c>
      <c r="L84" s="232"/>
      <c r="M84" s="232"/>
      <c r="N84" s="232"/>
      <c r="O84" s="232"/>
    </row>
    <row r="85" spans="1:15" x14ac:dyDescent="0.2">
      <c r="A85" t="s">
        <v>256</v>
      </c>
      <c r="B85" s="231">
        <v>22557215.51203116</v>
      </c>
      <c r="C85" s="231">
        <v>2295039</v>
      </c>
      <c r="D85" s="231">
        <v>18987830</v>
      </c>
      <c r="E85" s="231">
        <v>279649.9299999997</v>
      </c>
      <c r="F85" s="232">
        <v>8514227.8919905853</v>
      </c>
      <c r="G85" s="232">
        <v>1838000</v>
      </c>
      <c r="H85" s="232">
        <v>2082000</v>
      </c>
      <c r="I85" s="232">
        <v>353000</v>
      </c>
      <c r="J85" s="232">
        <v>336000</v>
      </c>
      <c r="K85" s="232">
        <v>308000</v>
      </c>
      <c r="L85" s="232">
        <v>265000</v>
      </c>
      <c r="M85" s="232">
        <v>97000</v>
      </c>
      <c r="N85" s="232">
        <v>76000</v>
      </c>
      <c r="O85" s="232">
        <v>656000</v>
      </c>
    </row>
    <row r="86" spans="1:15" x14ac:dyDescent="0.2">
      <c r="A86" t="s">
        <v>444</v>
      </c>
      <c r="B86" s="231">
        <v>116399545.21377394</v>
      </c>
      <c r="C86" s="231">
        <v>9868751</v>
      </c>
      <c r="D86" s="231">
        <v>102155313</v>
      </c>
      <c r="E86" s="231">
        <v>10411875.919999987</v>
      </c>
      <c r="F86" s="232">
        <v>50556215.670051426</v>
      </c>
      <c r="G86" s="232">
        <v>13324000</v>
      </c>
      <c r="H86" s="232">
        <v>10919000</v>
      </c>
      <c r="I86" s="232">
        <v>2553000</v>
      </c>
      <c r="J86" s="232">
        <v>2259000</v>
      </c>
      <c r="K86" s="232">
        <v>1115000</v>
      </c>
      <c r="L86" s="232"/>
      <c r="M86" s="232"/>
      <c r="N86" s="232"/>
      <c r="O86" s="232">
        <v>4912000</v>
      </c>
    </row>
    <row r="87" spans="1:15" x14ac:dyDescent="0.2">
      <c r="A87" t="s">
        <v>392</v>
      </c>
      <c r="B87" s="231">
        <v>12341522.818495624</v>
      </c>
      <c r="C87" s="231">
        <v>1076585</v>
      </c>
      <c r="D87" s="231">
        <v>6866825</v>
      </c>
      <c r="E87" s="231">
        <v>109974.71999999881</v>
      </c>
      <c r="F87" s="232">
        <v>1662616.8297205658</v>
      </c>
      <c r="G87" s="232">
        <v>2519000</v>
      </c>
      <c r="H87" s="232">
        <v>1199000</v>
      </c>
      <c r="I87" s="232">
        <v>261000</v>
      </c>
      <c r="J87" s="232">
        <v>287000</v>
      </c>
      <c r="K87" s="232">
        <v>64000</v>
      </c>
      <c r="L87" s="232">
        <v>13000</v>
      </c>
      <c r="M87" s="232">
        <v>15000</v>
      </c>
      <c r="N87" s="232"/>
      <c r="O87" s="232"/>
    </row>
    <row r="88" spans="1:15" x14ac:dyDescent="0.2">
      <c r="A88" t="s">
        <v>526</v>
      </c>
      <c r="B88" s="231">
        <v>16331673.112823842</v>
      </c>
      <c r="C88" s="231">
        <v>1942847</v>
      </c>
      <c r="D88" s="231">
        <v>9661274</v>
      </c>
      <c r="E88" s="231">
        <v>130615.77999999933</v>
      </c>
      <c r="F88" s="232">
        <v>2307024</v>
      </c>
      <c r="G88" s="232">
        <v>2557000</v>
      </c>
      <c r="H88" s="232">
        <v>3076000</v>
      </c>
      <c r="I88" s="232">
        <v>460000</v>
      </c>
      <c r="J88" s="232">
        <v>384000</v>
      </c>
      <c r="K88" s="232">
        <v>120000</v>
      </c>
      <c r="L88" s="232">
        <v>98000</v>
      </c>
      <c r="M88" s="232"/>
      <c r="N88" s="232"/>
      <c r="O88" s="232"/>
    </row>
    <row r="89" spans="1:15" x14ac:dyDescent="0.2">
      <c r="A89" t="s">
        <v>607</v>
      </c>
      <c r="B89" s="231">
        <v>31317293.679966066</v>
      </c>
      <c r="C89" s="231">
        <v>2487056</v>
      </c>
      <c r="D89" s="231">
        <v>20336366</v>
      </c>
      <c r="E89" s="231">
        <v>321302.96000000462</v>
      </c>
      <c r="F89" s="232">
        <v>8250633.1641288977</v>
      </c>
      <c r="G89" s="232">
        <v>4270000</v>
      </c>
      <c r="H89" s="232">
        <v>2826000</v>
      </c>
      <c r="I89" s="232">
        <v>797000</v>
      </c>
      <c r="J89" s="232">
        <v>653000</v>
      </c>
      <c r="K89" s="232">
        <v>311000</v>
      </c>
      <c r="L89" s="232">
        <v>972000</v>
      </c>
      <c r="M89" s="232">
        <v>176000</v>
      </c>
      <c r="N89" s="232"/>
      <c r="O89" s="232">
        <v>8000</v>
      </c>
    </row>
    <row r="90" spans="1:15" x14ac:dyDescent="0.2">
      <c r="A90" t="s">
        <v>310</v>
      </c>
      <c r="B90" s="231">
        <v>13431380.057489594</v>
      </c>
      <c r="C90" s="231">
        <v>1307006</v>
      </c>
      <c r="D90" s="231">
        <v>8610387</v>
      </c>
      <c r="E90" s="231">
        <v>177129.33999999799</v>
      </c>
      <c r="F90" s="232">
        <v>2971470.510999965</v>
      </c>
      <c r="G90" s="232">
        <v>1325000</v>
      </c>
      <c r="H90" s="232">
        <v>1583000</v>
      </c>
      <c r="I90" s="232">
        <v>302000</v>
      </c>
      <c r="J90" s="232">
        <v>289000</v>
      </c>
      <c r="K90" s="232">
        <v>34000</v>
      </c>
      <c r="L90" s="232"/>
      <c r="M90" s="232"/>
      <c r="N90" s="232"/>
      <c r="O90" s="232"/>
    </row>
    <row r="91" spans="1:15" x14ac:dyDescent="0.2">
      <c r="A91" t="s">
        <v>311</v>
      </c>
      <c r="B91" s="231">
        <v>18005282.802043773</v>
      </c>
      <c r="C91" s="231">
        <v>1615403</v>
      </c>
      <c r="D91" s="231">
        <v>11826181</v>
      </c>
      <c r="E91" s="231">
        <v>113572.28000000119</v>
      </c>
      <c r="F91" s="232">
        <v>5253968.2083136775</v>
      </c>
      <c r="G91" s="232">
        <v>3068000</v>
      </c>
      <c r="H91" s="232">
        <v>2092000</v>
      </c>
      <c r="I91" s="232">
        <v>621000</v>
      </c>
      <c r="J91" s="232">
        <v>392000</v>
      </c>
      <c r="K91" s="232">
        <v>73000</v>
      </c>
      <c r="L91" s="232"/>
      <c r="M91" s="232"/>
      <c r="N91" s="232"/>
      <c r="O91" s="232"/>
    </row>
    <row r="92" spans="1:15" x14ac:dyDescent="0.2">
      <c r="A92" t="s">
        <v>577</v>
      </c>
      <c r="B92" s="231">
        <v>23388577.087557863</v>
      </c>
      <c r="C92" s="231">
        <v>3020427</v>
      </c>
      <c r="D92" s="231">
        <v>18473465</v>
      </c>
      <c r="E92" s="231">
        <v>214059.48000000045</v>
      </c>
      <c r="F92" s="232">
        <v>6889495.6893755002</v>
      </c>
      <c r="G92" s="232">
        <v>2641000</v>
      </c>
      <c r="H92" s="232">
        <v>3839000</v>
      </c>
      <c r="I92" s="232">
        <v>428000</v>
      </c>
      <c r="J92" s="232">
        <v>652000</v>
      </c>
      <c r="K92" s="232">
        <v>100000</v>
      </c>
      <c r="L92" s="232">
        <v>195000</v>
      </c>
      <c r="M92" s="232"/>
      <c r="N92" s="232"/>
      <c r="O92" s="232"/>
    </row>
    <row r="93" spans="1:15" x14ac:dyDescent="0.2">
      <c r="A93" t="s">
        <v>393</v>
      </c>
      <c r="B93" s="231">
        <v>20495027.062653132</v>
      </c>
      <c r="C93" s="231">
        <v>1622992</v>
      </c>
      <c r="D93" s="231">
        <v>7814105</v>
      </c>
      <c r="E93" s="231">
        <v>113350.66000000015</v>
      </c>
      <c r="F93" s="232">
        <v>3079410.6564300186</v>
      </c>
      <c r="G93" s="232">
        <v>2928000</v>
      </c>
      <c r="H93" s="232">
        <v>1824000</v>
      </c>
      <c r="I93" s="232">
        <v>500000</v>
      </c>
      <c r="J93" s="232">
        <v>465000</v>
      </c>
      <c r="K93" s="232">
        <v>76000</v>
      </c>
      <c r="L93" s="232">
        <v>353000</v>
      </c>
      <c r="M93" s="232"/>
      <c r="N93" s="232"/>
      <c r="O93" s="232">
        <v>41000</v>
      </c>
    </row>
    <row r="94" spans="1:15" x14ac:dyDescent="0.2">
      <c r="A94" t="s">
        <v>312</v>
      </c>
      <c r="B94" s="231">
        <v>81139139.75337936</v>
      </c>
      <c r="C94" s="231">
        <v>7438013</v>
      </c>
      <c r="D94" s="231">
        <v>72738783</v>
      </c>
      <c r="E94" s="231">
        <v>4797689.2800000161</v>
      </c>
      <c r="F94" s="232">
        <v>19374424.587508768</v>
      </c>
      <c r="G94" s="232">
        <v>9542000</v>
      </c>
      <c r="H94" s="232">
        <v>10590000</v>
      </c>
      <c r="I94" s="232">
        <v>3068000</v>
      </c>
      <c r="J94" s="232">
        <v>1565000</v>
      </c>
      <c r="K94" s="232">
        <v>985000</v>
      </c>
      <c r="L94" s="232">
        <v>583000</v>
      </c>
      <c r="M94" s="232">
        <v>621000</v>
      </c>
      <c r="N94" s="232">
        <v>20000</v>
      </c>
      <c r="O94" s="232">
        <v>1105000</v>
      </c>
    </row>
    <row r="95" spans="1:15" x14ac:dyDescent="0.2">
      <c r="A95" t="s">
        <v>360</v>
      </c>
      <c r="B95" s="231">
        <v>5339196.4067559745</v>
      </c>
      <c r="C95" s="231">
        <v>466965</v>
      </c>
      <c r="D95" s="231">
        <v>3025140</v>
      </c>
      <c r="E95" s="231">
        <v>92401.919999999925</v>
      </c>
      <c r="F95" s="232">
        <v>1023098.0450050277</v>
      </c>
      <c r="G95" s="232">
        <v>617000</v>
      </c>
      <c r="H95" s="232">
        <v>748000</v>
      </c>
      <c r="I95" s="232">
        <v>385000</v>
      </c>
      <c r="J95" s="232">
        <v>147000</v>
      </c>
      <c r="K95" s="232">
        <v>24000</v>
      </c>
      <c r="L95" s="232">
        <v>35000</v>
      </c>
      <c r="M95" s="232"/>
      <c r="N95" s="232"/>
      <c r="O95" s="232"/>
    </row>
    <row r="96" spans="1:15" x14ac:dyDescent="0.2">
      <c r="A96" t="s">
        <v>234</v>
      </c>
      <c r="B96" s="231">
        <v>14884996.81650164</v>
      </c>
      <c r="C96" s="231">
        <v>1688717</v>
      </c>
      <c r="D96" s="231">
        <v>14486548</v>
      </c>
      <c r="E96" s="231">
        <v>309877.6400000006</v>
      </c>
      <c r="F96" s="232">
        <v>5842589.3702142779</v>
      </c>
      <c r="G96" s="232">
        <v>281000</v>
      </c>
      <c r="H96" s="232">
        <v>1840000</v>
      </c>
      <c r="I96" s="232">
        <v>296000</v>
      </c>
      <c r="J96" s="232">
        <v>250000</v>
      </c>
      <c r="K96" s="232">
        <v>130000</v>
      </c>
      <c r="L96" s="232"/>
      <c r="M96" s="232">
        <v>9000</v>
      </c>
      <c r="N96" s="232">
        <v>24000</v>
      </c>
      <c r="O96" s="232"/>
    </row>
    <row r="97" spans="1:15" x14ac:dyDescent="0.2">
      <c r="A97" t="s">
        <v>527</v>
      </c>
      <c r="B97" s="231">
        <v>11674970.922096761</v>
      </c>
      <c r="C97" s="231">
        <v>1322735</v>
      </c>
      <c r="D97" s="231">
        <v>8875810</v>
      </c>
      <c r="E97" s="231">
        <v>190958.06000000052</v>
      </c>
      <c r="F97" s="232">
        <v>1450621.8156434451</v>
      </c>
      <c r="G97" s="232">
        <v>763000</v>
      </c>
      <c r="H97" s="232">
        <v>1995000</v>
      </c>
      <c r="I97" s="232">
        <v>704000</v>
      </c>
      <c r="J97" s="232">
        <v>309000</v>
      </c>
      <c r="K97" s="232">
        <v>0</v>
      </c>
      <c r="L97" s="232">
        <v>285000</v>
      </c>
      <c r="M97" s="232">
        <v>30000</v>
      </c>
      <c r="N97" s="232"/>
      <c r="O97" s="232"/>
    </row>
    <row r="98" spans="1:15" x14ac:dyDescent="0.2">
      <c r="A98" t="s">
        <v>578</v>
      </c>
      <c r="B98" s="231">
        <v>15356394.532997292</v>
      </c>
      <c r="C98" s="231">
        <v>1826322</v>
      </c>
      <c r="D98" s="231">
        <v>12101158</v>
      </c>
      <c r="E98" s="231">
        <v>71982.419999998063</v>
      </c>
      <c r="F98" s="232">
        <v>3004557.6596820452</v>
      </c>
      <c r="G98" s="232">
        <v>1702000</v>
      </c>
      <c r="H98" s="232">
        <v>3386000</v>
      </c>
      <c r="I98" s="232">
        <v>604000</v>
      </c>
      <c r="J98" s="232">
        <v>403000</v>
      </c>
      <c r="K98" s="232">
        <v>65000</v>
      </c>
      <c r="L98" s="232">
        <v>300000</v>
      </c>
      <c r="M98" s="232">
        <v>31000</v>
      </c>
      <c r="N98" s="232"/>
      <c r="O98" s="232"/>
    </row>
    <row r="99" spans="1:15" x14ac:dyDescent="0.2">
      <c r="A99" t="s">
        <v>528</v>
      </c>
      <c r="B99" s="231">
        <v>196901463.04099625</v>
      </c>
      <c r="C99" s="231">
        <v>18352804</v>
      </c>
      <c r="D99" s="231">
        <v>157218319</v>
      </c>
      <c r="E99" s="231">
        <v>16251549.680000007</v>
      </c>
      <c r="F99" s="232">
        <v>95354658.791754961</v>
      </c>
      <c r="G99" s="232">
        <v>26156000</v>
      </c>
      <c r="H99" s="232">
        <v>17627000</v>
      </c>
      <c r="I99" s="232">
        <v>7035000</v>
      </c>
      <c r="J99" s="232">
        <v>3613000</v>
      </c>
      <c r="K99" s="232">
        <v>746000</v>
      </c>
      <c r="L99" s="232">
        <v>1857000</v>
      </c>
      <c r="M99" s="232"/>
      <c r="N99" s="232">
        <v>598000</v>
      </c>
      <c r="O99" s="232">
        <v>8722000</v>
      </c>
    </row>
    <row r="100" spans="1:15" x14ac:dyDescent="0.2">
      <c r="A100" t="s">
        <v>313</v>
      </c>
      <c r="B100" s="231">
        <v>15400395.702819478</v>
      </c>
      <c r="C100" s="231">
        <v>1595021</v>
      </c>
      <c r="D100" s="231">
        <v>12311168</v>
      </c>
      <c r="E100" s="231">
        <v>79129.5</v>
      </c>
      <c r="F100" s="232">
        <v>2968806.8649166804</v>
      </c>
      <c r="G100" s="232">
        <v>1856000</v>
      </c>
      <c r="H100" s="232">
        <v>2145000</v>
      </c>
      <c r="I100" s="232">
        <v>515000</v>
      </c>
      <c r="J100" s="232">
        <v>355000</v>
      </c>
      <c r="K100" s="232">
        <v>396000</v>
      </c>
      <c r="L100" s="232">
        <v>187000</v>
      </c>
      <c r="M100" s="232">
        <v>51000</v>
      </c>
      <c r="N100" s="232">
        <v>60000</v>
      </c>
      <c r="O100" s="232"/>
    </row>
    <row r="101" spans="1:15" x14ac:dyDescent="0.2">
      <c r="A101" t="s">
        <v>220</v>
      </c>
      <c r="B101" s="231">
        <v>93165107.739608198</v>
      </c>
      <c r="C101" s="231">
        <v>10833240</v>
      </c>
      <c r="D101" s="231">
        <v>102466208</v>
      </c>
      <c r="E101" s="231">
        <v>8395764</v>
      </c>
      <c r="F101" s="232">
        <v>45239283.683732897</v>
      </c>
      <c r="G101" s="232">
        <v>13123000</v>
      </c>
      <c r="H101" s="232">
        <v>9816000</v>
      </c>
      <c r="I101" s="232">
        <v>2285000</v>
      </c>
      <c r="J101" s="232">
        <v>1636000</v>
      </c>
      <c r="K101" s="232">
        <v>656000</v>
      </c>
      <c r="L101" s="232">
        <v>379000</v>
      </c>
      <c r="M101" s="232"/>
      <c r="N101" s="232">
        <v>283000</v>
      </c>
      <c r="O101" s="232">
        <v>3682000</v>
      </c>
    </row>
    <row r="102" spans="1:15" x14ac:dyDescent="0.2">
      <c r="A102" t="s">
        <v>394</v>
      </c>
      <c r="B102" s="231">
        <v>16697936.717313826</v>
      </c>
      <c r="C102" s="231">
        <v>1425511</v>
      </c>
      <c r="D102" s="231">
        <v>9160450</v>
      </c>
      <c r="E102" s="231">
        <v>113040.60000000149</v>
      </c>
      <c r="F102" s="232">
        <v>4311040.7262844276</v>
      </c>
      <c r="G102" s="232">
        <v>2729000</v>
      </c>
      <c r="H102" s="232">
        <v>1401000</v>
      </c>
      <c r="I102" s="232">
        <v>257000</v>
      </c>
      <c r="J102" s="232">
        <v>279000</v>
      </c>
      <c r="K102" s="232">
        <v>217000</v>
      </c>
      <c r="L102" s="232">
        <v>522000</v>
      </c>
      <c r="M102" s="232"/>
      <c r="N102" s="232"/>
      <c r="O102" s="232">
        <v>146000</v>
      </c>
    </row>
    <row r="103" spans="1:15" x14ac:dyDescent="0.2">
      <c r="A103" t="s">
        <v>279</v>
      </c>
      <c r="B103" s="231">
        <v>153877504.52874634</v>
      </c>
      <c r="C103" s="231">
        <v>12960703</v>
      </c>
      <c r="D103" s="231">
        <v>157374699</v>
      </c>
      <c r="E103" s="231">
        <v>17867816.360000044</v>
      </c>
      <c r="F103" s="232">
        <v>88411489.352612793</v>
      </c>
      <c r="G103" s="232">
        <v>20168000</v>
      </c>
      <c r="H103" s="232">
        <v>13051000</v>
      </c>
      <c r="I103" s="232">
        <v>2843000</v>
      </c>
      <c r="J103" s="232">
        <v>2922000</v>
      </c>
      <c r="K103" s="232">
        <v>418000</v>
      </c>
      <c r="L103" s="232"/>
      <c r="M103" s="232"/>
      <c r="N103" s="232">
        <v>152000</v>
      </c>
      <c r="O103" s="232">
        <v>3973000</v>
      </c>
    </row>
    <row r="104" spans="1:15" x14ac:dyDescent="0.2">
      <c r="A104" t="s">
        <v>314</v>
      </c>
      <c r="B104" s="231">
        <v>22169609.572707042</v>
      </c>
      <c r="C104" s="231">
        <v>2916731</v>
      </c>
      <c r="D104" s="231">
        <v>17129977</v>
      </c>
      <c r="E104" s="231">
        <v>177451.53999999911</v>
      </c>
      <c r="F104" s="232">
        <v>5560267.8836422488</v>
      </c>
      <c r="G104" s="232">
        <v>3928000</v>
      </c>
      <c r="H104" s="232">
        <v>2071000</v>
      </c>
      <c r="I104" s="232">
        <v>901000</v>
      </c>
      <c r="J104" s="232">
        <v>429000</v>
      </c>
      <c r="K104" s="232">
        <v>614000</v>
      </c>
      <c r="L104" s="232">
        <v>644000</v>
      </c>
      <c r="M104" s="232">
        <v>255000</v>
      </c>
      <c r="N104" s="232"/>
      <c r="O104" s="232"/>
    </row>
    <row r="105" spans="1:15" x14ac:dyDescent="0.2">
      <c r="A105" t="s">
        <v>315</v>
      </c>
      <c r="B105" s="231">
        <v>20017935.224631038</v>
      </c>
      <c r="C105" s="231">
        <v>2422677</v>
      </c>
      <c r="D105" s="231">
        <v>16935583</v>
      </c>
      <c r="E105" s="231">
        <v>107964.55999999866</v>
      </c>
      <c r="F105" s="232">
        <v>3636129.1824066029</v>
      </c>
      <c r="G105" s="232">
        <v>1855000</v>
      </c>
      <c r="H105" s="232">
        <v>2183000</v>
      </c>
      <c r="I105" s="232">
        <v>387000</v>
      </c>
      <c r="J105" s="232">
        <v>426000</v>
      </c>
      <c r="K105" s="232">
        <v>431000</v>
      </c>
      <c r="L105" s="232">
        <v>311000</v>
      </c>
      <c r="M105" s="232">
        <v>718000</v>
      </c>
      <c r="N105" s="232"/>
      <c r="O105" s="232"/>
    </row>
    <row r="106" spans="1:15" x14ac:dyDescent="0.2">
      <c r="A106" t="s">
        <v>529</v>
      </c>
      <c r="B106" s="231">
        <v>30531939.257939469</v>
      </c>
      <c r="C106" s="231">
        <v>3123291</v>
      </c>
      <c r="D106" s="231">
        <v>23904719</v>
      </c>
      <c r="E106" s="231">
        <v>199520.21000000462</v>
      </c>
      <c r="F106" s="232">
        <v>7685563.2324591875</v>
      </c>
      <c r="G106" s="232">
        <v>3572000</v>
      </c>
      <c r="H106" s="232">
        <v>4052000</v>
      </c>
      <c r="I106" s="232">
        <v>408000</v>
      </c>
      <c r="J106" s="232">
        <v>646000</v>
      </c>
      <c r="K106" s="232">
        <v>127000</v>
      </c>
      <c r="L106" s="232"/>
      <c r="M106" s="232"/>
      <c r="N106" s="232"/>
      <c r="O106" s="232">
        <v>747000</v>
      </c>
    </row>
    <row r="107" spans="1:15" x14ac:dyDescent="0.2">
      <c r="A107" t="s">
        <v>257</v>
      </c>
      <c r="B107" s="231">
        <v>7845678.7085331753</v>
      </c>
      <c r="C107" s="231">
        <v>649912</v>
      </c>
      <c r="D107" s="231">
        <v>4779324</v>
      </c>
      <c r="E107" s="231">
        <v>46212.879999998957</v>
      </c>
      <c r="F107" s="232">
        <v>2307134.4931289162</v>
      </c>
      <c r="G107" s="232">
        <v>990000</v>
      </c>
      <c r="H107" s="232">
        <v>714000</v>
      </c>
      <c r="I107" s="232">
        <v>125000</v>
      </c>
      <c r="J107" s="232">
        <v>116000</v>
      </c>
      <c r="K107" s="232">
        <v>24000</v>
      </c>
      <c r="L107" s="232">
        <v>12000</v>
      </c>
      <c r="M107" s="232">
        <v>11000</v>
      </c>
      <c r="N107" s="232"/>
      <c r="O107" s="232"/>
    </row>
    <row r="108" spans="1:15" x14ac:dyDescent="0.2">
      <c r="A108" t="s">
        <v>258</v>
      </c>
      <c r="B108" s="231">
        <v>18380589.000366036</v>
      </c>
      <c r="C108" s="231">
        <v>1885730</v>
      </c>
      <c r="D108" s="231">
        <v>13987547</v>
      </c>
      <c r="E108" s="231">
        <v>368698.85999999568</v>
      </c>
      <c r="F108" s="232">
        <v>6886344.4189572399</v>
      </c>
      <c r="G108" s="232">
        <v>1871000</v>
      </c>
      <c r="H108" s="232">
        <v>2110000</v>
      </c>
      <c r="I108" s="232">
        <v>483000</v>
      </c>
      <c r="J108" s="232">
        <v>294000</v>
      </c>
      <c r="K108" s="232">
        <v>125000</v>
      </c>
      <c r="L108" s="232"/>
      <c r="M108" s="232"/>
      <c r="N108" s="232">
        <v>100000</v>
      </c>
      <c r="O108" s="232">
        <v>533000</v>
      </c>
    </row>
    <row r="109" spans="1:15" x14ac:dyDescent="0.2">
      <c r="A109" t="s">
        <v>530</v>
      </c>
      <c r="B109" s="231">
        <v>14873091.646184821</v>
      </c>
      <c r="C109" s="231">
        <v>1627629</v>
      </c>
      <c r="D109" s="231">
        <v>10137680</v>
      </c>
      <c r="E109" s="231">
        <v>191731.37999999896</v>
      </c>
      <c r="F109" s="232">
        <v>3903559.9195349938</v>
      </c>
      <c r="G109" s="232">
        <v>2060000</v>
      </c>
      <c r="H109" s="232">
        <v>2718000</v>
      </c>
      <c r="I109" s="232">
        <v>307000</v>
      </c>
      <c r="J109" s="232">
        <v>352000</v>
      </c>
      <c r="K109" s="232">
        <v>48000</v>
      </c>
      <c r="L109" s="232"/>
      <c r="M109" s="232"/>
      <c r="N109" s="232"/>
      <c r="O109" s="232"/>
    </row>
    <row r="110" spans="1:15" x14ac:dyDescent="0.2">
      <c r="A110" t="s">
        <v>316</v>
      </c>
      <c r="B110" s="231">
        <v>17414529.058051668</v>
      </c>
      <c r="C110" s="231">
        <v>1542795</v>
      </c>
      <c r="D110" s="231">
        <v>9729618</v>
      </c>
      <c r="E110" s="231">
        <v>126727.26000000164</v>
      </c>
      <c r="F110" s="232">
        <v>3046524.5203833519</v>
      </c>
      <c r="G110" s="232">
        <v>0</v>
      </c>
      <c r="H110" s="232">
        <v>3983000</v>
      </c>
      <c r="I110" s="232">
        <v>710000</v>
      </c>
      <c r="J110" s="232">
        <v>430000</v>
      </c>
      <c r="K110" s="232">
        <v>586000</v>
      </c>
      <c r="L110" s="232">
        <v>94000</v>
      </c>
      <c r="M110" s="232"/>
      <c r="N110" s="232">
        <v>14000</v>
      </c>
      <c r="O110" s="232">
        <v>449000</v>
      </c>
    </row>
    <row r="111" spans="1:15" x14ac:dyDescent="0.2">
      <c r="A111" t="s">
        <v>531</v>
      </c>
      <c r="B111" s="231">
        <v>27006975.551642247</v>
      </c>
      <c r="C111" s="231">
        <v>3078476</v>
      </c>
      <c r="D111" s="231">
        <v>18459676</v>
      </c>
      <c r="E111" s="231">
        <v>207999.13000000268</v>
      </c>
      <c r="F111" s="232">
        <v>8884014.1763843782</v>
      </c>
      <c r="G111" s="232">
        <v>3350000</v>
      </c>
      <c r="H111" s="232">
        <v>2881000</v>
      </c>
      <c r="I111" s="232">
        <v>645000</v>
      </c>
      <c r="J111" s="232">
        <v>745000</v>
      </c>
      <c r="K111" s="232">
        <v>1000</v>
      </c>
      <c r="L111" s="232">
        <v>385000</v>
      </c>
      <c r="M111" s="232"/>
      <c r="N111" s="232">
        <v>95000</v>
      </c>
      <c r="O111" s="232">
        <v>440000</v>
      </c>
    </row>
    <row r="112" spans="1:15" x14ac:dyDescent="0.2">
      <c r="A112" t="s">
        <v>532</v>
      </c>
      <c r="B112" s="231">
        <v>20468777.523328546</v>
      </c>
      <c r="C112" s="231">
        <v>1966403</v>
      </c>
      <c r="D112" s="231">
        <v>14819890</v>
      </c>
      <c r="E112" s="231">
        <v>169385.96000000462</v>
      </c>
      <c r="F112" s="232">
        <v>4775896.2740917318</v>
      </c>
      <c r="G112" s="232">
        <v>1833000</v>
      </c>
      <c r="H112" s="232">
        <v>1989000</v>
      </c>
      <c r="I112" s="232">
        <v>900000</v>
      </c>
      <c r="J112" s="232">
        <v>420000</v>
      </c>
      <c r="K112" s="232">
        <v>31000</v>
      </c>
      <c r="L112" s="232">
        <v>355000</v>
      </c>
      <c r="M112" s="232"/>
      <c r="N112" s="232">
        <v>45000</v>
      </c>
      <c r="O112" s="232"/>
    </row>
    <row r="113" spans="1:15" x14ac:dyDescent="0.2">
      <c r="A113" t="s">
        <v>579</v>
      </c>
      <c r="B113" s="231">
        <v>12851975.599262943</v>
      </c>
      <c r="C113" s="231">
        <v>1745982</v>
      </c>
      <c r="D113" s="231">
        <v>11505149</v>
      </c>
      <c r="E113" s="231">
        <v>111817.64000000246</v>
      </c>
      <c r="F113" s="232">
        <v>3250499.7411556849</v>
      </c>
      <c r="G113" s="232">
        <v>1230000</v>
      </c>
      <c r="H113" s="232">
        <v>1956000</v>
      </c>
      <c r="I113" s="232">
        <v>150000</v>
      </c>
      <c r="J113" s="232">
        <v>274000</v>
      </c>
      <c r="K113" s="232">
        <v>30000</v>
      </c>
      <c r="L113" s="232">
        <v>1064000</v>
      </c>
      <c r="M113" s="232">
        <v>40000</v>
      </c>
      <c r="N113" s="232"/>
      <c r="O113" s="232">
        <v>2000</v>
      </c>
    </row>
    <row r="114" spans="1:15" x14ac:dyDescent="0.2">
      <c r="A114" t="s">
        <v>445</v>
      </c>
      <c r="B114" s="231">
        <v>8922721.5478617046</v>
      </c>
      <c r="C114" s="231">
        <v>772887</v>
      </c>
      <c r="D114" s="231">
        <v>4812737</v>
      </c>
      <c r="E114" s="231">
        <v>144976.25999999978</v>
      </c>
      <c r="F114" s="232">
        <v>898612.93267865106</v>
      </c>
      <c r="G114" s="232">
        <v>1299000</v>
      </c>
      <c r="H114" s="232">
        <v>1391000</v>
      </c>
      <c r="I114" s="232">
        <v>521000</v>
      </c>
      <c r="J114" s="232">
        <v>230000</v>
      </c>
      <c r="K114" s="232">
        <v>130000</v>
      </c>
      <c r="L114" s="232"/>
      <c r="M114" s="232"/>
      <c r="N114" s="232"/>
      <c r="O114" s="232"/>
    </row>
    <row r="115" spans="1:15" x14ac:dyDescent="0.2">
      <c r="A115" t="s">
        <v>533</v>
      </c>
      <c r="B115" s="231">
        <v>17050070.24499169</v>
      </c>
      <c r="C115" s="231">
        <v>1877791</v>
      </c>
      <c r="D115" s="231">
        <v>11131499</v>
      </c>
      <c r="E115" s="231">
        <v>97860.190000001341</v>
      </c>
      <c r="F115" s="232">
        <v>4982582.5453003552</v>
      </c>
      <c r="G115" s="232">
        <v>1989000</v>
      </c>
      <c r="H115" s="232">
        <v>1563000</v>
      </c>
      <c r="I115" s="232">
        <v>439000</v>
      </c>
      <c r="J115" s="232">
        <v>404000</v>
      </c>
      <c r="K115" s="232">
        <v>0</v>
      </c>
      <c r="L115" s="232">
        <v>207000</v>
      </c>
      <c r="M115" s="232"/>
      <c r="N115" s="232"/>
      <c r="O115" s="232"/>
    </row>
    <row r="116" spans="1:15" x14ac:dyDescent="0.2">
      <c r="A116" t="s">
        <v>446</v>
      </c>
      <c r="B116" s="231">
        <v>36309633.04994747</v>
      </c>
      <c r="C116" s="231">
        <v>3773394</v>
      </c>
      <c r="D116" s="231">
        <v>21929561</v>
      </c>
      <c r="E116" s="231">
        <v>510619.60000000149</v>
      </c>
      <c r="F116" s="232">
        <v>6468284.2701959088</v>
      </c>
      <c r="G116" s="232"/>
      <c r="H116" s="232">
        <v>0</v>
      </c>
      <c r="I116" s="232"/>
      <c r="J116" s="232"/>
      <c r="K116" s="232"/>
      <c r="L116" s="232"/>
      <c r="M116" s="232"/>
      <c r="N116" s="232"/>
      <c r="O116" s="232"/>
    </row>
    <row r="117" spans="1:15" x14ac:dyDescent="0.2">
      <c r="A117" t="s">
        <v>497</v>
      </c>
      <c r="B117" s="231">
        <v>33191676.785125371</v>
      </c>
      <c r="C117" s="231">
        <v>3606580</v>
      </c>
      <c r="D117" s="231">
        <v>21163808</v>
      </c>
      <c r="E117" s="231">
        <v>848512.42000000551</v>
      </c>
      <c r="F117" s="232">
        <v>8826058.2188638933</v>
      </c>
      <c r="G117" s="232">
        <v>3752000</v>
      </c>
      <c r="H117" s="232">
        <v>2473000</v>
      </c>
      <c r="I117" s="232">
        <v>831000</v>
      </c>
      <c r="J117" s="232">
        <v>792000</v>
      </c>
      <c r="K117" s="232">
        <v>466000</v>
      </c>
      <c r="L117" s="232">
        <v>175000</v>
      </c>
      <c r="M117" s="232">
        <v>51000</v>
      </c>
      <c r="N117" s="232">
        <v>346000</v>
      </c>
      <c r="O117" s="232">
        <v>4486000</v>
      </c>
    </row>
    <row r="118" spans="1:15" x14ac:dyDescent="0.2">
      <c r="A118" t="s">
        <v>534</v>
      </c>
      <c r="B118" s="231">
        <v>15745238.404453786</v>
      </c>
      <c r="C118" s="231">
        <v>1696861</v>
      </c>
      <c r="D118" s="231">
        <v>12989637</v>
      </c>
      <c r="E118" s="231">
        <v>136888.58000000007</v>
      </c>
      <c r="F118" s="232">
        <v>3419802.5883972505</v>
      </c>
      <c r="G118" s="232">
        <v>1887000</v>
      </c>
      <c r="H118" s="232">
        <v>2313000</v>
      </c>
      <c r="I118" s="232">
        <v>341000</v>
      </c>
      <c r="J118" s="232">
        <v>282000</v>
      </c>
      <c r="K118" s="232">
        <v>0</v>
      </c>
      <c r="L118" s="232"/>
      <c r="M118" s="232"/>
      <c r="N118" s="232"/>
      <c r="O118" s="232"/>
    </row>
    <row r="119" spans="1:15" x14ac:dyDescent="0.2">
      <c r="A119" t="s">
        <v>447</v>
      </c>
      <c r="B119" s="231">
        <v>33583736.307659358</v>
      </c>
      <c r="C119" s="231">
        <v>2850687</v>
      </c>
      <c r="D119" s="231">
        <v>21092183</v>
      </c>
      <c r="E119" s="231">
        <v>689230.92000000179</v>
      </c>
      <c r="F119" s="232">
        <v>10412491.813802935</v>
      </c>
      <c r="G119" s="232">
        <v>2847000</v>
      </c>
      <c r="H119" s="232">
        <v>3748000</v>
      </c>
      <c r="I119" s="232">
        <v>836000</v>
      </c>
      <c r="J119" s="232">
        <v>492000</v>
      </c>
      <c r="K119" s="232">
        <v>424000</v>
      </c>
      <c r="L119" s="232"/>
      <c r="M119" s="232"/>
      <c r="N119" s="232"/>
      <c r="O119" s="232">
        <v>2543000</v>
      </c>
    </row>
    <row r="120" spans="1:15" x14ac:dyDescent="0.2">
      <c r="A120" t="s">
        <v>448</v>
      </c>
      <c r="B120" s="231">
        <v>71900554.555707172</v>
      </c>
      <c r="C120" s="231">
        <v>5164249</v>
      </c>
      <c r="D120" s="231">
        <v>60016637</v>
      </c>
      <c r="E120" s="231">
        <v>4837396.299999997</v>
      </c>
      <c r="F120" s="232">
        <v>20982091.738253709</v>
      </c>
      <c r="G120" s="232">
        <v>9314000</v>
      </c>
      <c r="H120" s="232">
        <v>10635000</v>
      </c>
      <c r="I120" s="232">
        <v>827000</v>
      </c>
      <c r="J120" s="232">
        <v>1124000</v>
      </c>
      <c r="K120" s="232">
        <v>0</v>
      </c>
      <c r="L120" s="232"/>
      <c r="M120" s="232"/>
      <c r="N120" s="232"/>
      <c r="O120" s="232">
        <v>2767000</v>
      </c>
    </row>
    <row r="121" spans="1:15" x14ac:dyDescent="0.2">
      <c r="A121" t="s">
        <v>535</v>
      </c>
      <c r="B121" s="231">
        <v>8992560.0929673202</v>
      </c>
      <c r="C121" s="231">
        <v>1020920</v>
      </c>
      <c r="D121" s="231">
        <v>6207463</v>
      </c>
      <c r="E121" s="231">
        <v>55886.580000000075</v>
      </c>
      <c r="F121" s="232">
        <v>1813404.729664458</v>
      </c>
      <c r="G121" s="232">
        <v>848000</v>
      </c>
      <c r="H121" s="232">
        <v>1198000</v>
      </c>
      <c r="I121" s="232">
        <v>216000</v>
      </c>
      <c r="J121" s="232">
        <v>154000</v>
      </c>
      <c r="K121" s="232">
        <v>94000</v>
      </c>
      <c r="L121" s="232"/>
      <c r="M121" s="232"/>
      <c r="N121" s="232"/>
      <c r="O121" s="232"/>
    </row>
    <row r="122" spans="1:15" x14ac:dyDescent="0.2">
      <c r="A122" t="s">
        <v>317</v>
      </c>
      <c r="B122" s="231">
        <v>27704383.705004763</v>
      </c>
      <c r="C122" s="231">
        <v>3434703</v>
      </c>
      <c r="D122" s="231">
        <v>17857042</v>
      </c>
      <c r="E122" s="231">
        <v>241872.05999999866</v>
      </c>
      <c r="F122" s="232">
        <v>7805823.8648412032</v>
      </c>
      <c r="G122" s="232">
        <v>2088000</v>
      </c>
      <c r="H122" s="232">
        <v>3194000</v>
      </c>
      <c r="I122" s="232">
        <v>371000</v>
      </c>
      <c r="J122" s="232">
        <v>538000</v>
      </c>
      <c r="K122" s="232">
        <v>45000</v>
      </c>
      <c r="L122" s="232">
        <v>241000</v>
      </c>
      <c r="M122" s="232">
        <v>12000</v>
      </c>
      <c r="N122" s="232">
        <v>0</v>
      </c>
      <c r="O122" s="232">
        <v>0</v>
      </c>
    </row>
    <row r="123" spans="1:15" x14ac:dyDescent="0.2">
      <c r="A123" t="s">
        <v>235</v>
      </c>
      <c r="B123" s="231">
        <v>219682816.77686879</v>
      </c>
      <c r="C123" s="231">
        <v>12799027</v>
      </c>
      <c r="D123" s="231">
        <v>178144384</v>
      </c>
      <c r="E123" s="231">
        <v>26298274.979999989</v>
      </c>
      <c r="F123" s="232">
        <v>161168871.80585095</v>
      </c>
      <c r="G123" s="232">
        <v>22373000</v>
      </c>
      <c r="H123" s="232">
        <v>14043000</v>
      </c>
      <c r="I123" s="232">
        <v>7104000</v>
      </c>
      <c r="J123" s="232">
        <v>3622000</v>
      </c>
      <c r="K123" s="232">
        <v>1472000</v>
      </c>
      <c r="L123" s="232">
        <v>1055000</v>
      </c>
      <c r="M123" s="232"/>
      <c r="N123" s="232"/>
      <c r="O123" s="232">
        <v>7391000</v>
      </c>
    </row>
    <row r="124" spans="1:15" x14ac:dyDescent="0.2">
      <c r="A124" t="s">
        <v>236</v>
      </c>
      <c r="B124" s="231">
        <v>9093448.6547701489</v>
      </c>
      <c r="C124" s="231">
        <v>932196</v>
      </c>
      <c r="D124" s="231">
        <v>7611503</v>
      </c>
      <c r="E124" s="231">
        <v>173276.41999999993</v>
      </c>
      <c r="F124" s="232">
        <v>2014211.0508388665</v>
      </c>
      <c r="G124" s="232">
        <v>1074000</v>
      </c>
      <c r="H124" s="232">
        <v>1265000</v>
      </c>
      <c r="I124" s="232">
        <v>130000</v>
      </c>
      <c r="J124" s="232">
        <v>175000</v>
      </c>
      <c r="K124" s="232">
        <v>100000</v>
      </c>
      <c r="L124" s="232"/>
      <c r="M124" s="232"/>
      <c r="N124" s="232"/>
      <c r="O124" s="232"/>
    </row>
    <row r="125" spans="1:15" x14ac:dyDescent="0.2">
      <c r="A125" t="s">
        <v>580</v>
      </c>
      <c r="B125" s="231">
        <v>10814532.880432969</v>
      </c>
      <c r="C125" s="231">
        <v>1285020</v>
      </c>
      <c r="D125" s="231">
        <v>7211797</v>
      </c>
      <c r="E125" s="231">
        <v>81474.759999999776</v>
      </c>
      <c r="F125" s="232">
        <v>1796680</v>
      </c>
      <c r="G125" s="232">
        <v>1390000</v>
      </c>
      <c r="H125" s="232">
        <v>1770000</v>
      </c>
      <c r="I125" s="232">
        <v>193000</v>
      </c>
      <c r="J125" s="232">
        <v>293000</v>
      </c>
      <c r="K125" s="232">
        <v>12000</v>
      </c>
      <c r="L125" s="232">
        <v>850000</v>
      </c>
      <c r="M125" s="232">
        <v>18000</v>
      </c>
      <c r="N125" s="232"/>
      <c r="O125" s="232">
        <v>288000</v>
      </c>
    </row>
    <row r="126" spans="1:15" x14ac:dyDescent="0.2">
      <c r="A126" t="s">
        <v>280</v>
      </c>
      <c r="B126" s="231">
        <v>18002587.97149105</v>
      </c>
      <c r="C126" s="231">
        <v>1832592</v>
      </c>
      <c r="D126" s="231">
        <v>10355246</v>
      </c>
      <c r="E126" s="231">
        <v>96471.579999998212</v>
      </c>
      <c r="F126" s="232">
        <v>4099766.7386786193</v>
      </c>
      <c r="G126" s="232">
        <v>1873000</v>
      </c>
      <c r="H126" s="232">
        <v>3592000</v>
      </c>
      <c r="I126" s="232">
        <v>536000</v>
      </c>
      <c r="J126" s="232">
        <v>304000</v>
      </c>
      <c r="K126" s="232">
        <v>60000</v>
      </c>
      <c r="L126" s="232">
        <v>179000</v>
      </c>
      <c r="M126" s="232">
        <v>51000</v>
      </c>
      <c r="N126" s="232"/>
      <c r="O126" s="232">
        <v>164000</v>
      </c>
    </row>
    <row r="127" spans="1:15" x14ac:dyDescent="0.2">
      <c r="A127" t="s">
        <v>536</v>
      </c>
      <c r="B127" s="231">
        <v>7953627.6915289015</v>
      </c>
      <c r="C127" s="231">
        <v>1029567</v>
      </c>
      <c r="D127" s="231">
        <v>6296849</v>
      </c>
      <c r="E127" s="231">
        <v>47571.679999999702</v>
      </c>
      <c r="F127" s="232">
        <v>1012057.627779162</v>
      </c>
      <c r="G127" s="232">
        <v>804000</v>
      </c>
      <c r="H127" s="232">
        <v>1295000</v>
      </c>
      <c r="I127" s="232">
        <v>765000</v>
      </c>
      <c r="J127" s="232">
        <v>182000</v>
      </c>
      <c r="K127" s="232">
        <v>0</v>
      </c>
      <c r="L127" s="232">
        <v>117000</v>
      </c>
      <c r="M127" s="232">
        <v>21000</v>
      </c>
      <c r="N127" s="232"/>
      <c r="O127" s="232"/>
    </row>
    <row r="128" spans="1:15" x14ac:dyDescent="0.2">
      <c r="A128" t="s">
        <v>396</v>
      </c>
      <c r="B128" s="231">
        <v>144142712.09075296</v>
      </c>
      <c r="C128" s="231">
        <v>11159046</v>
      </c>
      <c r="D128" s="231">
        <v>108356118</v>
      </c>
      <c r="E128" s="231">
        <v>11896941.659999967</v>
      </c>
      <c r="F128" s="232">
        <v>49399473.251575395</v>
      </c>
      <c r="G128" s="232">
        <v>19662000</v>
      </c>
      <c r="H128" s="232">
        <v>12460000</v>
      </c>
      <c r="I128" s="232">
        <v>2929000</v>
      </c>
      <c r="J128" s="232">
        <v>3497000</v>
      </c>
      <c r="K128" s="232">
        <v>931000</v>
      </c>
      <c r="L128" s="232">
        <v>900000</v>
      </c>
      <c r="M128" s="232"/>
      <c r="N128" s="232">
        <v>538000</v>
      </c>
      <c r="O128" s="232">
        <v>16686000</v>
      </c>
    </row>
    <row r="129" spans="1:15" x14ac:dyDescent="0.2">
      <c r="A129" t="s">
        <v>397</v>
      </c>
      <c r="B129" s="231">
        <v>3636872.410898495</v>
      </c>
      <c r="C129" s="231">
        <v>325587</v>
      </c>
      <c r="D129" s="231">
        <v>1392938</v>
      </c>
      <c r="E129" s="231">
        <v>39328.020000000019</v>
      </c>
      <c r="F129" s="232">
        <v>739880.55883934768</v>
      </c>
      <c r="G129" s="232">
        <v>710000</v>
      </c>
      <c r="H129" s="232">
        <v>717000</v>
      </c>
      <c r="I129" s="232">
        <v>225000</v>
      </c>
      <c r="J129" s="232">
        <v>89000</v>
      </c>
      <c r="K129" s="232">
        <v>0</v>
      </c>
      <c r="L129" s="232">
        <v>40000</v>
      </c>
      <c r="M129" s="232"/>
      <c r="N129" s="232">
        <v>34000</v>
      </c>
      <c r="O129" s="232"/>
    </row>
    <row r="130" spans="1:15" x14ac:dyDescent="0.2">
      <c r="A130" t="s">
        <v>398</v>
      </c>
      <c r="B130" s="231">
        <v>91001342.56882596</v>
      </c>
      <c r="C130" s="231">
        <v>7389852</v>
      </c>
      <c r="D130" s="231">
        <v>51194476</v>
      </c>
      <c r="E130" s="231">
        <v>1433854.5400000215</v>
      </c>
      <c r="F130" s="232">
        <v>27030390.39735958</v>
      </c>
      <c r="G130" s="232">
        <v>15593000</v>
      </c>
      <c r="H130" s="232">
        <v>9002000</v>
      </c>
      <c r="I130" s="232">
        <v>4885000</v>
      </c>
      <c r="J130" s="232">
        <v>2607000</v>
      </c>
      <c r="K130" s="232">
        <v>844000</v>
      </c>
      <c r="L130" s="232">
        <v>8080000</v>
      </c>
      <c r="M130" s="232"/>
      <c r="N130" s="232"/>
      <c r="O130" s="232">
        <v>3295000</v>
      </c>
    </row>
    <row r="131" spans="1:15" x14ac:dyDescent="0.2">
      <c r="A131" t="s">
        <v>537</v>
      </c>
      <c r="B131" s="231">
        <v>20053690.639013093</v>
      </c>
      <c r="C131" s="231">
        <v>2532810</v>
      </c>
      <c r="D131" s="231">
        <v>16026649</v>
      </c>
      <c r="E131" s="231">
        <v>212992.62999999896</v>
      </c>
      <c r="F131" s="232">
        <v>5273684.4737183461</v>
      </c>
      <c r="G131" s="232">
        <v>3225000</v>
      </c>
      <c r="H131" s="232">
        <v>2589000</v>
      </c>
      <c r="I131" s="232">
        <v>722000</v>
      </c>
      <c r="J131" s="232">
        <v>534000</v>
      </c>
      <c r="K131" s="232">
        <v>68000</v>
      </c>
      <c r="L131" s="232">
        <v>444000</v>
      </c>
      <c r="M131" s="232"/>
      <c r="N131" s="232"/>
      <c r="O131" s="232"/>
    </row>
    <row r="132" spans="1:15" x14ac:dyDescent="0.2">
      <c r="A132" t="s">
        <v>281</v>
      </c>
      <c r="B132" s="231">
        <v>43398719.583005235</v>
      </c>
      <c r="C132" s="231">
        <v>4296256</v>
      </c>
      <c r="D132" s="231">
        <v>36372328</v>
      </c>
      <c r="E132" s="231">
        <v>430154.01999999583</v>
      </c>
      <c r="F132" s="232">
        <v>11564459.215686424</v>
      </c>
      <c r="G132" s="232">
        <v>4802000</v>
      </c>
      <c r="H132" s="232">
        <v>6349000</v>
      </c>
      <c r="I132" s="232">
        <v>1265000</v>
      </c>
      <c r="J132" s="232">
        <v>984000</v>
      </c>
      <c r="K132" s="232">
        <v>666000</v>
      </c>
      <c r="L132" s="232">
        <v>616000</v>
      </c>
      <c r="M132" s="232">
        <v>316000</v>
      </c>
      <c r="N132" s="232"/>
      <c r="O132" s="232">
        <v>1597000</v>
      </c>
    </row>
    <row r="133" spans="1:15" x14ac:dyDescent="0.2">
      <c r="A133" t="s">
        <v>318</v>
      </c>
      <c r="B133" s="231">
        <v>34980821.63591852</v>
      </c>
      <c r="C133" s="231">
        <v>3309495</v>
      </c>
      <c r="D133" s="231">
        <v>22954033</v>
      </c>
      <c r="E133" s="231">
        <v>265347.70000000298</v>
      </c>
      <c r="F133" s="232">
        <v>10271292.2207195</v>
      </c>
      <c r="G133" s="232">
        <v>3614000</v>
      </c>
      <c r="H133" s="232">
        <v>2654000</v>
      </c>
      <c r="I133" s="232">
        <v>649000</v>
      </c>
      <c r="J133" s="232">
        <v>727000</v>
      </c>
      <c r="K133" s="232">
        <v>545000</v>
      </c>
      <c r="L133" s="232">
        <v>160000</v>
      </c>
      <c r="M133" s="232">
        <v>142000</v>
      </c>
      <c r="N133" s="232">
        <v>250000</v>
      </c>
      <c r="O133" s="232">
        <v>3140000</v>
      </c>
    </row>
    <row r="134" spans="1:15" x14ac:dyDescent="0.2">
      <c r="A134" t="s">
        <v>449</v>
      </c>
      <c r="B134" s="231">
        <v>11735345.135790361</v>
      </c>
      <c r="C134" s="231">
        <v>1272058</v>
      </c>
      <c r="D134" s="231">
        <v>6789204</v>
      </c>
      <c r="E134" s="231">
        <v>191598.75999999978</v>
      </c>
      <c r="F134" s="232">
        <v>1451527</v>
      </c>
      <c r="G134" s="232">
        <v>1651000</v>
      </c>
      <c r="H134" s="232">
        <v>1778000</v>
      </c>
      <c r="I134" s="232">
        <v>350000</v>
      </c>
      <c r="J134" s="232">
        <v>274000</v>
      </c>
      <c r="K134" s="232">
        <v>300000</v>
      </c>
      <c r="L134" s="232"/>
      <c r="M134" s="232"/>
      <c r="N134" s="232"/>
      <c r="O134" s="232"/>
    </row>
    <row r="135" spans="1:15" x14ac:dyDescent="0.2">
      <c r="A135" t="s">
        <v>237</v>
      </c>
      <c r="B135" s="231">
        <v>15428806.351385478</v>
      </c>
      <c r="C135" s="231">
        <v>1554094</v>
      </c>
      <c r="D135" s="231">
        <v>7174187</v>
      </c>
      <c r="E135" s="231">
        <v>55080.739999998361</v>
      </c>
      <c r="F135" s="232">
        <v>3061598.5302485656</v>
      </c>
      <c r="G135" s="232">
        <v>2115000</v>
      </c>
      <c r="H135" s="232">
        <v>2127000</v>
      </c>
      <c r="I135" s="232">
        <v>1047000</v>
      </c>
      <c r="J135" s="232">
        <v>288000</v>
      </c>
      <c r="K135" s="232">
        <v>237000</v>
      </c>
      <c r="L135" s="232">
        <v>82000</v>
      </c>
      <c r="M135" s="232">
        <v>41000</v>
      </c>
      <c r="N135" s="232"/>
      <c r="O135" s="232">
        <v>461000</v>
      </c>
    </row>
    <row r="136" spans="1:15" x14ac:dyDescent="0.2">
      <c r="A136" t="s">
        <v>259</v>
      </c>
      <c r="B136" s="231">
        <v>15489798.162211565</v>
      </c>
      <c r="C136" s="231">
        <v>1604703</v>
      </c>
      <c r="D136" s="231">
        <v>10338809</v>
      </c>
      <c r="E136" s="231">
        <v>353248.27999999933</v>
      </c>
      <c r="F136" s="232">
        <v>7016343.1824179245</v>
      </c>
      <c r="G136" s="232">
        <v>1590000</v>
      </c>
      <c r="H136" s="232">
        <v>1430000</v>
      </c>
      <c r="I136" s="232">
        <v>150000</v>
      </c>
      <c r="J136" s="232">
        <v>240000</v>
      </c>
      <c r="K136" s="232">
        <v>80000</v>
      </c>
      <c r="L136" s="232">
        <v>95000</v>
      </c>
      <c r="M136" s="232"/>
      <c r="N136" s="232"/>
      <c r="O136" s="232">
        <v>837000</v>
      </c>
    </row>
    <row r="137" spans="1:15" x14ac:dyDescent="0.2">
      <c r="A137" t="s">
        <v>319</v>
      </c>
      <c r="B137" s="231">
        <v>7626130.9246934252</v>
      </c>
      <c r="C137" s="231">
        <v>875816</v>
      </c>
      <c r="D137" s="231">
        <v>5387878</v>
      </c>
      <c r="E137" s="231">
        <v>64058.139999999665</v>
      </c>
      <c r="F137" s="232">
        <v>1461713.4659873899</v>
      </c>
      <c r="G137" s="232">
        <v>1061000</v>
      </c>
      <c r="H137" s="232">
        <v>973000</v>
      </c>
      <c r="I137" s="232">
        <v>200000</v>
      </c>
      <c r="J137" s="232">
        <v>231000</v>
      </c>
      <c r="K137" s="232">
        <v>154000</v>
      </c>
      <c r="L137" s="232">
        <v>148000</v>
      </c>
      <c r="M137" s="232">
        <v>5000</v>
      </c>
      <c r="N137" s="232">
        <v>85000</v>
      </c>
      <c r="O137" s="232"/>
    </row>
    <row r="138" spans="1:15" x14ac:dyDescent="0.2">
      <c r="A138" t="s">
        <v>399</v>
      </c>
      <c r="B138" s="231">
        <v>30682206.257935476</v>
      </c>
      <c r="C138" s="231">
        <v>3198512</v>
      </c>
      <c r="D138" s="231">
        <v>18161093</v>
      </c>
      <c r="E138" s="231">
        <v>139093.39999999478</v>
      </c>
      <c r="F138" s="232">
        <v>9618378.2092207242</v>
      </c>
      <c r="G138" s="232">
        <v>4608000</v>
      </c>
      <c r="H138" s="232">
        <v>3048000</v>
      </c>
      <c r="I138" s="232">
        <v>508000</v>
      </c>
      <c r="J138" s="232">
        <v>641000</v>
      </c>
      <c r="K138" s="232">
        <v>239000</v>
      </c>
      <c r="L138" s="232">
        <v>63000</v>
      </c>
      <c r="M138" s="232"/>
      <c r="N138" s="232"/>
      <c r="O138" s="232"/>
    </row>
    <row r="139" spans="1:15" x14ac:dyDescent="0.2">
      <c r="A139" t="s">
        <v>400</v>
      </c>
      <c r="B139" s="231">
        <v>16347367.631280459</v>
      </c>
      <c r="C139" s="231">
        <v>2078702</v>
      </c>
      <c r="D139" s="231">
        <v>8391969</v>
      </c>
      <c r="E139" s="231">
        <v>53737.019999999553</v>
      </c>
      <c r="F139" s="232">
        <v>2873042.4621481751</v>
      </c>
      <c r="G139" s="232">
        <v>2615000</v>
      </c>
      <c r="H139" s="232">
        <v>2379000</v>
      </c>
      <c r="I139" s="232">
        <v>276000</v>
      </c>
      <c r="J139" s="232">
        <v>498000</v>
      </c>
      <c r="K139" s="232">
        <v>563000</v>
      </c>
      <c r="L139" s="232"/>
      <c r="M139" s="232"/>
      <c r="N139" s="232"/>
      <c r="O139" s="232">
        <v>725000</v>
      </c>
    </row>
    <row r="140" spans="1:15" x14ac:dyDescent="0.2">
      <c r="A140" t="s">
        <v>320</v>
      </c>
      <c r="B140" s="231">
        <v>12257652.519406041</v>
      </c>
      <c r="C140" s="231">
        <v>1546347</v>
      </c>
      <c r="D140" s="231">
        <v>9239191</v>
      </c>
      <c r="E140" s="231">
        <v>100748.33999999799</v>
      </c>
      <c r="F140" s="232">
        <v>2244973.5641803448</v>
      </c>
      <c r="G140" s="232">
        <v>1637000</v>
      </c>
      <c r="H140" s="232">
        <v>1610000</v>
      </c>
      <c r="I140" s="232">
        <v>488000</v>
      </c>
      <c r="J140" s="232">
        <v>300000</v>
      </c>
      <c r="K140" s="232">
        <v>345000</v>
      </c>
      <c r="L140" s="232">
        <v>231000</v>
      </c>
      <c r="M140" s="232">
        <v>6000</v>
      </c>
      <c r="N140" s="232"/>
      <c r="O140" s="232"/>
    </row>
    <row r="141" spans="1:15" x14ac:dyDescent="0.2">
      <c r="A141" t="s">
        <v>260</v>
      </c>
      <c r="B141" s="231">
        <v>43283393.294372447</v>
      </c>
      <c r="C141" s="231">
        <v>4450767</v>
      </c>
      <c r="D141" s="231">
        <v>32095456</v>
      </c>
      <c r="E141" s="231">
        <v>357747.72999999672</v>
      </c>
      <c r="F141" s="232">
        <v>16758042.74247852</v>
      </c>
      <c r="G141" s="232"/>
      <c r="H141" s="232">
        <v>0</v>
      </c>
      <c r="I141" s="232"/>
      <c r="J141" s="232"/>
      <c r="K141" s="232">
        <v>0</v>
      </c>
      <c r="L141" s="232"/>
      <c r="M141" s="232"/>
      <c r="N141" s="232"/>
      <c r="O141" s="232"/>
    </row>
    <row r="142" spans="1:15" x14ac:dyDescent="0.2">
      <c r="A142" t="s">
        <v>401</v>
      </c>
      <c r="B142" s="231">
        <v>39857285.042281069</v>
      </c>
      <c r="C142" s="231">
        <v>3205936</v>
      </c>
      <c r="D142" s="231">
        <v>28474085</v>
      </c>
      <c r="E142" s="231">
        <v>288132.61999999732</v>
      </c>
      <c r="F142" s="232">
        <v>10137782.750411067</v>
      </c>
      <c r="G142" s="232">
        <v>4453000</v>
      </c>
      <c r="H142" s="232">
        <v>3873000</v>
      </c>
      <c r="I142" s="232">
        <v>1783000</v>
      </c>
      <c r="J142" s="232">
        <v>896000</v>
      </c>
      <c r="K142" s="232">
        <v>141000</v>
      </c>
      <c r="L142" s="232"/>
      <c r="M142" s="232"/>
      <c r="N142" s="232"/>
      <c r="O142" s="232">
        <v>282000</v>
      </c>
    </row>
    <row r="143" spans="1:15" x14ac:dyDescent="0.2">
      <c r="A143" t="s">
        <v>581</v>
      </c>
      <c r="B143" s="231">
        <v>93705120.361321464</v>
      </c>
      <c r="C143" s="231">
        <v>11122426</v>
      </c>
      <c r="D143" s="231">
        <v>124706625</v>
      </c>
      <c r="E143" s="231">
        <v>9027891.9000000358</v>
      </c>
      <c r="F143" s="232">
        <v>62714402.877766587</v>
      </c>
      <c r="G143" s="232">
        <v>10910000</v>
      </c>
      <c r="H143" s="232">
        <v>8487000</v>
      </c>
      <c r="I143" s="232">
        <v>1567000</v>
      </c>
      <c r="J143" s="232">
        <v>1487000</v>
      </c>
      <c r="K143" s="232">
        <v>461000</v>
      </c>
      <c r="L143" s="232">
        <v>170000</v>
      </c>
      <c r="M143" s="232"/>
      <c r="N143" s="232"/>
      <c r="O143" s="232">
        <v>2080000</v>
      </c>
    </row>
    <row r="144" spans="1:15" x14ac:dyDescent="0.2">
      <c r="A144" t="s">
        <v>538</v>
      </c>
      <c r="B144" s="231">
        <v>10089812.959543442</v>
      </c>
      <c r="C144" s="231">
        <v>1225406</v>
      </c>
      <c r="D144" s="231">
        <v>5110132</v>
      </c>
      <c r="E144" s="231">
        <v>80817.300000000745</v>
      </c>
      <c r="F144" s="232">
        <v>1473730.5944383454</v>
      </c>
      <c r="G144" s="232">
        <v>1221000</v>
      </c>
      <c r="H144" s="232">
        <v>1821000</v>
      </c>
      <c r="I144" s="232">
        <v>536000</v>
      </c>
      <c r="J144" s="232">
        <v>296000</v>
      </c>
      <c r="K144" s="232">
        <v>2000</v>
      </c>
      <c r="L144" s="232">
        <v>180000</v>
      </c>
      <c r="M144" s="232"/>
      <c r="N144" s="232"/>
      <c r="O144" s="232"/>
    </row>
    <row r="145" spans="1:15" x14ac:dyDescent="0.2">
      <c r="A145" t="s">
        <v>402</v>
      </c>
      <c r="B145" s="231">
        <v>13609916.917972075</v>
      </c>
      <c r="C145" s="231">
        <v>1615138</v>
      </c>
      <c r="D145" s="231">
        <v>7634000</v>
      </c>
      <c r="E145" s="231">
        <v>49210.539999997243</v>
      </c>
      <c r="F145" s="232">
        <v>2635275.8811393799</v>
      </c>
      <c r="G145" s="232">
        <v>1922000</v>
      </c>
      <c r="H145" s="232">
        <v>2080000</v>
      </c>
      <c r="I145" s="232">
        <v>410000</v>
      </c>
      <c r="J145" s="232">
        <v>388000</v>
      </c>
      <c r="K145" s="232">
        <v>127000</v>
      </c>
      <c r="L145" s="232">
        <v>39000</v>
      </c>
      <c r="M145" s="232"/>
      <c r="N145" s="232"/>
      <c r="O145" s="232"/>
    </row>
    <row r="146" spans="1:15" x14ac:dyDescent="0.2">
      <c r="A146" t="s">
        <v>282</v>
      </c>
      <c r="B146" s="231">
        <v>25292405.793005288</v>
      </c>
      <c r="C146" s="231">
        <v>2820550</v>
      </c>
      <c r="D146" s="231">
        <v>18364083</v>
      </c>
      <c r="E146" s="231">
        <v>235903.98000000417</v>
      </c>
      <c r="F146" s="232">
        <v>5546830.0633764658</v>
      </c>
      <c r="G146" s="232">
        <v>3327000</v>
      </c>
      <c r="H146" s="232">
        <v>3658000</v>
      </c>
      <c r="I146" s="232">
        <v>624000</v>
      </c>
      <c r="J146" s="232">
        <v>494000</v>
      </c>
      <c r="K146" s="232">
        <v>419000</v>
      </c>
      <c r="L146" s="232">
        <v>354000</v>
      </c>
      <c r="M146" s="232"/>
      <c r="N146" s="232">
        <v>60000</v>
      </c>
      <c r="O146" s="232">
        <v>563000</v>
      </c>
    </row>
    <row r="147" spans="1:15" x14ac:dyDescent="0.2">
      <c r="A147" t="s">
        <v>450</v>
      </c>
      <c r="B147" s="231">
        <v>30001270.826194841</v>
      </c>
      <c r="C147" s="231">
        <v>2621276</v>
      </c>
      <c r="D147" s="231">
        <v>16821195</v>
      </c>
      <c r="E147" s="231">
        <v>127462.35999999568</v>
      </c>
      <c r="F147" s="232">
        <v>10826140.912473638</v>
      </c>
      <c r="G147" s="232">
        <v>3292000</v>
      </c>
      <c r="H147" s="232">
        <v>2890000</v>
      </c>
      <c r="I147" s="232">
        <v>162000</v>
      </c>
      <c r="J147" s="232">
        <v>705000</v>
      </c>
      <c r="K147" s="232">
        <v>59000</v>
      </c>
      <c r="L147" s="232">
        <v>378000</v>
      </c>
      <c r="M147" s="232"/>
      <c r="N147" s="232"/>
      <c r="O147" s="232"/>
    </row>
    <row r="148" spans="1:15" x14ac:dyDescent="0.2">
      <c r="A148" t="s">
        <v>539</v>
      </c>
      <c r="B148" s="231">
        <v>76164735.697811037</v>
      </c>
      <c r="C148" s="231">
        <v>6584159</v>
      </c>
      <c r="D148" s="231">
        <v>79966129</v>
      </c>
      <c r="E148" s="231">
        <v>5728790.5600000024</v>
      </c>
      <c r="F148" s="232">
        <v>34992764.406938903</v>
      </c>
      <c r="G148" s="232">
        <v>8729000</v>
      </c>
      <c r="H148" s="232">
        <v>11381000</v>
      </c>
      <c r="I148" s="232">
        <v>3042000</v>
      </c>
      <c r="J148" s="232">
        <v>1386000</v>
      </c>
      <c r="K148" s="232">
        <v>0</v>
      </c>
      <c r="L148" s="232"/>
      <c r="M148" s="232"/>
      <c r="N148" s="232">
        <v>158000</v>
      </c>
      <c r="O148" s="232">
        <v>3413000</v>
      </c>
    </row>
    <row r="149" spans="1:15" x14ac:dyDescent="0.2">
      <c r="A149" t="s">
        <v>451</v>
      </c>
      <c r="B149" s="231">
        <v>19169251.153469626</v>
      </c>
      <c r="C149" s="231">
        <v>1581677</v>
      </c>
      <c r="D149" s="231">
        <v>10440840</v>
      </c>
      <c r="E149" s="231">
        <v>186835.5</v>
      </c>
      <c r="F149" s="232">
        <v>3733319.4607593017</v>
      </c>
      <c r="G149" s="232">
        <v>3225000</v>
      </c>
      <c r="H149" s="232">
        <v>2185000</v>
      </c>
      <c r="I149" s="232">
        <v>457000</v>
      </c>
      <c r="J149" s="232">
        <v>483000</v>
      </c>
      <c r="K149" s="232">
        <v>455000</v>
      </c>
      <c r="L149" s="232"/>
      <c r="M149" s="232"/>
      <c r="N149" s="232"/>
      <c r="O149" s="232"/>
    </row>
    <row r="150" spans="1:15" x14ac:dyDescent="0.2">
      <c r="A150" t="s">
        <v>630</v>
      </c>
      <c r="B150" s="231">
        <v>70619071.057106584</v>
      </c>
      <c r="C150" s="231">
        <v>6850636</v>
      </c>
      <c r="D150" s="231">
        <v>52724825</v>
      </c>
      <c r="E150" s="231">
        <v>739459.76000000536</v>
      </c>
      <c r="F150" s="232">
        <v>30864096.464236226</v>
      </c>
      <c r="G150" s="232">
        <v>8386000</v>
      </c>
      <c r="H150" s="232">
        <v>7692000</v>
      </c>
      <c r="I150" s="232">
        <v>1977000</v>
      </c>
      <c r="J150" s="232">
        <v>1364000</v>
      </c>
      <c r="K150" s="232">
        <v>518000</v>
      </c>
      <c r="L150" s="232">
        <v>124000</v>
      </c>
      <c r="M150" s="232"/>
      <c r="N150" s="232"/>
      <c r="O150" s="232">
        <v>1624000</v>
      </c>
    </row>
    <row r="151" spans="1:15" x14ac:dyDescent="0.2">
      <c r="A151" t="s">
        <v>617</v>
      </c>
      <c r="B151" s="231">
        <v>9700790.9647988584</v>
      </c>
      <c r="C151" s="231">
        <v>910186</v>
      </c>
      <c r="D151" s="231">
        <v>6460600</v>
      </c>
      <c r="E151" s="231">
        <v>363827.72000000067</v>
      </c>
      <c r="F151" s="232">
        <v>3503435.7824910148</v>
      </c>
      <c r="G151" s="232">
        <v>1025000</v>
      </c>
      <c r="H151" s="232">
        <v>797000</v>
      </c>
      <c r="I151" s="232">
        <v>125000</v>
      </c>
      <c r="J151" s="232">
        <v>152000</v>
      </c>
      <c r="K151" s="232">
        <v>149000</v>
      </c>
      <c r="L151" s="232"/>
      <c r="M151" s="232">
        <v>10000</v>
      </c>
      <c r="N151" s="232"/>
      <c r="O151" s="232"/>
    </row>
    <row r="152" spans="1:15" x14ac:dyDescent="0.2">
      <c r="A152" t="s">
        <v>321</v>
      </c>
      <c r="B152" s="231">
        <v>10105437.979964733</v>
      </c>
      <c r="C152" s="231">
        <v>1074573</v>
      </c>
      <c r="D152" s="231">
        <v>7168511</v>
      </c>
      <c r="E152" s="231">
        <v>119027.16000000015</v>
      </c>
      <c r="F152" s="232">
        <v>2777465.7762275687</v>
      </c>
      <c r="G152" s="232">
        <v>992000</v>
      </c>
      <c r="H152" s="232">
        <v>1120000</v>
      </c>
      <c r="I152" s="232">
        <v>234000</v>
      </c>
      <c r="J152" s="232">
        <v>242000</v>
      </c>
      <c r="K152" s="232">
        <v>89000</v>
      </c>
      <c r="L152" s="232"/>
      <c r="M152" s="232"/>
      <c r="N152" s="232"/>
      <c r="O152" s="232"/>
    </row>
    <row r="153" spans="1:15" x14ac:dyDescent="0.2">
      <c r="A153" t="s">
        <v>540</v>
      </c>
      <c r="B153" s="231">
        <v>27927576.544574056</v>
      </c>
      <c r="C153" s="231">
        <v>2947813</v>
      </c>
      <c r="D153" s="231">
        <v>18039257</v>
      </c>
      <c r="E153" s="231">
        <v>170347.19000000134</v>
      </c>
      <c r="F153" s="232">
        <v>6625559.849947609</v>
      </c>
      <c r="G153" s="232">
        <v>3251000</v>
      </c>
      <c r="H153" s="232">
        <v>2942000</v>
      </c>
      <c r="I153" s="232">
        <v>913000</v>
      </c>
      <c r="J153" s="232">
        <v>678000</v>
      </c>
      <c r="K153" s="232">
        <v>205000</v>
      </c>
      <c r="L153" s="232">
        <v>92000</v>
      </c>
      <c r="M153" s="232"/>
      <c r="N153" s="232"/>
      <c r="O153" s="232">
        <v>97000</v>
      </c>
    </row>
    <row r="154" spans="1:15" x14ac:dyDescent="0.2">
      <c r="A154" t="s">
        <v>452</v>
      </c>
      <c r="B154" s="231">
        <v>14478608.603998221</v>
      </c>
      <c r="C154" s="231">
        <v>1546252</v>
      </c>
      <c r="D154" s="231">
        <v>8752882</v>
      </c>
      <c r="E154" s="231">
        <v>69072.359999999404</v>
      </c>
      <c r="F154" s="232">
        <v>2851227.5236617951</v>
      </c>
      <c r="G154" s="232">
        <v>2559000</v>
      </c>
      <c r="H154" s="232">
        <v>2194000</v>
      </c>
      <c r="I154" s="232">
        <v>413000</v>
      </c>
      <c r="J154" s="232">
        <v>342000</v>
      </c>
      <c r="K154" s="232">
        <v>87000</v>
      </c>
      <c r="L154" s="232"/>
      <c r="M154" s="232"/>
      <c r="N154" s="232"/>
      <c r="O154" s="232"/>
    </row>
    <row r="155" spans="1:15" x14ac:dyDescent="0.2">
      <c r="A155" t="s">
        <v>541</v>
      </c>
      <c r="B155" s="231">
        <v>9229569.2049571965</v>
      </c>
      <c r="C155" s="231">
        <v>979604</v>
      </c>
      <c r="D155" s="231">
        <v>5883112</v>
      </c>
      <c r="E155" s="231">
        <v>166153.16000000015</v>
      </c>
      <c r="F155" s="232">
        <v>1242397.0963260282</v>
      </c>
      <c r="G155" s="232">
        <v>1056000</v>
      </c>
      <c r="H155" s="232">
        <v>1929000</v>
      </c>
      <c r="I155" s="232">
        <v>305000</v>
      </c>
      <c r="J155" s="232">
        <v>263000</v>
      </c>
      <c r="K155" s="232">
        <v>0</v>
      </c>
      <c r="L155" s="232">
        <v>695000</v>
      </c>
      <c r="M155" s="232">
        <v>160000</v>
      </c>
      <c r="N155" s="232"/>
      <c r="O155" s="232"/>
    </row>
    <row r="156" spans="1:15" x14ac:dyDescent="0.2">
      <c r="A156" t="s">
        <v>403</v>
      </c>
      <c r="B156" s="231">
        <v>72231366.587969348</v>
      </c>
      <c r="C156" s="231">
        <v>6761850</v>
      </c>
      <c r="D156" s="231">
        <v>50832201</v>
      </c>
      <c r="E156" s="231">
        <v>4641614.3399999887</v>
      </c>
      <c r="F156" s="232">
        <v>24314009.305734526</v>
      </c>
      <c r="G156" s="232">
        <v>8745000</v>
      </c>
      <c r="H156" s="232">
        <v>8768000</v>
      </c>
      <c r="I156" s="232">
        <v>2654000</v>
      </c>
      <c r="J156" s="232">
        <v>1482000</v>
      </c>
      <c r="K156" s="232">
        <v>1135000</v>
      </c>
      <c r="L156" s="232"/>
      <c r="M156" s="232"/>
      <c r="N156" s="232"/>
      <c r="O156" s="232">
        <v>4960000</v>
      </c>
    </row>
    <row r="157" spans="1:15" x14ac:dyDescent="0.2">
      <c r="A157" t="s">
        <v>283</v>
      </c>
      <c r="B157" s="231">
        <v>24125930.92694556</v>
      </c>
      <c r="C157" s="231">
        <v>2913284</v>
      </c>
      <c r="D157" s="231">
        <v>15320940</v>
      </c>
      <c r="E157" s="231">
        <v>209040.10000000149</v>
      </c>
      <c r="F157" s="232">
        <v>5567608.3896399438</v>
      </c>
      <c r="G157" s="232">
        <v>3359000</v>
      </c>
      <c r="H157" s="232">
        <v>4688000</v>
      </c>
      <c r="I157" s="232">
        <v>670000</v>
      </c>
      <c r="J157" s="232">
        <v>589000</v>
      </c>
      <c r="K157" s="232">
        <v>239000</v>
      </c>
      <c r="L157" s="232">
        <v>363000</v>
      </c>
      <c r="M157" s="232">
        <v>70000</v>
      </c>
      <c r="N157" s="232"/>
      <c r="O157" s="232"/>
    </row>
    <row r="158" spans="1:15" x14ac:dyDescent="0.2">
      <c r="A158" t="s">
        <v>404</v>
      </c>
      <c r="B158" s="231">
        <v>36674609.771255076</v>
      </c>
      <c r="C158" s="231">
        <v>3034501</v>
      </c>
      <c r="D158" s="231">
        <v>16733380</v>
      </c>
      <c r="E158" s="231">
        <v>636696.42000000179</v>
      </c>
      <c r="F158" s="232">
        <v>7459798.9637719942</v>
      </c>
      <c r="G158" s="232">
        <v>5628000</v>
      </c>
      <c r="H158" s="232">
        <v>4255000</v>
      </c>
      <c r="I158" s="232">
        <v>1026000</v>
      </c>
      <c r="J158" s="232">
        <v>806000</v>
      </c>
      <c r="K158" s="232">
        <v>428000</v>
      </c>
      <c r="L158" s="232">
        <v>76000</v>
      </c>
      <c r="M158" s="232">
        <v>178000</v>
      </c>
      <c r="N158" s="232"/>
      <c r="O158" s="232"/>
    </row>
    <row r="159" spans="1:15" x14ac:dyDescent="0.2">
      <c r="A159" t="s">
        <v>221</v>
      </c>
      <c r="B159" s="231">
        <v>45351035.281176567</v>
      </c>
      <c r="C159" s="231">
        <v>5456516</v>
      </c>
      <c r="D159" s="231">
        <v>46552049</v>
      </c>
      <c r="E159" s="231">
        <v>459965.40000000596</v>
      </c>
      <c r="F159" s="232">
        <v>16521943.328720445</v>
      </c>
      <c r="G159" s="232">
        <v>5960000</v>
      </c>
      <c r="H159" s="232">
        <v>4398000</v>
      </c>
      <c r="I159" s="232">
        <v>709000</v>
      </c>
      <c r="J159" s="232">
        <v>821000</v>
      </c>
      <c r="K159" s="232">
        <v>856000</v>
      </c>
      <c r="L159" s="232">
        <v>83000</v>
      </c>
      <c r="M159" s="232"/>
      <c r="N159" s="232"/>
      <c r="O159" s="232">
        <v>2787000</v>
      </c>
    </row>
    <row r="160" spans="1:15" x14ac:dyDescent="0.2">
      <c r="A160" t="s">
        <v>238</v>
      </c>
      <c r="B160" s="231">
        <v>32892561.882524744</v>
      </c>
      <c r="C160" s="231">
        <v>3937398</v>
      </c>
      <c r="D160" s="231">
        <v>32078339</v>
      </c>
      <c r="E160" s="231">
        <v>613317.37999999523</v>
      </c>
      <c r="F160" s="232">
        <v>19946335.539936714</v>
      </c>
      <c r="G160" s="232">
        <v>3164000</v>
      </c>
      <c r="H160" s="232">
        <v>3163000</v>
      </c>
      <c r="I160" s="232">
        <v>690000</v>
      </c>
      <c r="J160" s="232">
        <v>469000</v>
      </c>
      <c r="K160" s="232">
        <v>166000</v>
      </c>
      <c r="L160" s="232">
        <v>96000</v>
      </c>
      <c r="M160" s="232">
        <v>11000</v>
      </c>
      <c r="N160" s="232"/>
      <c r="O160" s="232"/>
    </row>
    <row r="161" spans="1:15" x14ac:dyDescent="0.2">
      <c r="A161" t="s">
        <v>405</v>
      </c>
      <c r="B161" s="231">
        <v>63906232.420447677</v>
      </c>
      <c r="C161" s="231">
        <v>5019901</v>
      </c>
      <c r="D161" s="231">
        <v>44869756</v>
      </c>
      <c r="E161" s="231">
        <v>2339094.4399999976</v>
      </c>
      <c r="F161" s="232">
        <v>21611545.612154972</v>
      </c>
      <c r="G161" s="232">
        <v>8653000</v>
      </c>
      <c r="H161" s="232">
        <v>4857000</v>
      </c>
      <c r="I161" s="232">
        <v>1060000</v>
      </c>
      <c r="J161" s="232">
        <v>1310000</v>
      </c>
      <c r="K161" s="232">
        <v>321000</v>
      </c>
      <c r="L161" s="232"/>
      <c r="M161" s="232"/>
      <c r="N161" s="232">
        <v>796000</v>
      </c>
      <c r="O161" s="232">
        <v>4528000</v>
      </c>
    </row>
    <row r="162" spans="1:15" x14ac:dyDescent="0.2">
      <c r="A162" t="s">
        <v>582</v>
      </c>
      <c r="B162" s="231">
        <v>27975102.0346875</v>
      </c>
      <c r="C162" s="231">
        <v>2933266</v>
      </c>
      <c r="D162" s="231">
        <v>18127957</v>
      </c>
      <c r="E162" s="231">
        <v>239082.33999999985</v>
      </c>
      <c r="F162" s="232">
        <v>5045567.346335792</v>
      </c>
      <c r="G162" s="232">
        <v>2506000</v>
      </c>
      <c r="H162" s="232">
        <v>3730000</v>
      </c>
      <c r="I162" s="232">
        <v>869000</v>
      </c>
      <c r="J162" s="232">
        <v>590000</v>
      </c>
      <c r="K162" s="232">
        <v>18000</v>
      </c>
      <c r="L162" s="232">
        <v>1933000</v>
      </c>
      <c r="M162" s="232"/>
      <c r="N162" s="232">
        <v>87000</v>
      </c>
      <c r="O162" s="232"/>
    </row>
    <row r="163" spans="1:15" x14ac:dyDescent="0.2">
      <c r="A163" t="s">
        <v>361</v>
      </c>
      <c r="B163" s="231">
        <v>31532964.540318035</v>
      </c>
      <c r="C163" s="231">
        <v>1985299</v>
      </c>
      <c r="D163" s="231">
        <v>17392713</v>
      </c>
      <c r="E163" s="231">
        <v>168717.03999999911</v>
      </c>
      <c r="F163" s="232">
        <v>6130003.2428625291</v>
      </c>
      <c r="G163" s="232">
        <v>4103000</v>
      </c>
      <c r="H163" s="232">
        <v>2611000</v>
      </c>
      <c r="I163" s="232">
        <v>547000</v>
      </c>
      <c r="J163" s="232">
        <v>710000</v>
      </c>
      <c r="K163" s="232">
        <v>89000</v>
      </c>
      <c r="L163" s="232">
        <v>160000</v>
      </c>
      <c r="M163" s="232"/>
      <c r="N163" s="232"/>
      <c r="O163" s="232"/>
    </row>
    <row r="164" spans="1:15" x14ac:dyDescent="0.2">
      <c r="A164" t="s">
        <v>406</v>
      </c>
      <c r="B164" s="231">
        <v>29860370.702049822</v>
      </c>
      <c r="C164" s="231">
        <v>2760593</v>
      </c>
      <c r="D164" s="231">
        <v>16518752</v>
      </c>
      <c r="E164" s="231">
        <v>102658.6799999997</v>
      </c>
      <c r="F164" s="232">
        <v>8725253.8688348401</v>
      </c>
      <c r="G164" s="232">
        <v>4146000</v>
      </c>
      <c r="H164" s="232">
        <v>4077000</v>
      </c>
      <c r="I164" s="232">
        <v>610000</v>
      </c>
      <c r="J164" s="232">
        <v>670000</v>
      </c>
      <c r="K164" s="232">
        <v>597000</v>
      </c>
      <c r="L164" s="232">
        <v>90000</v>
      </c>
      <c r="M164" s="232"/>
      <c r="N164" s="232"/>
      <c r="O164" s="232">
        <v>4000</v>
      </c>
    </row>
    <row r="165" spans="1:15" x14ac:dyDescent="0.2">
      <c r="A165" t="s">
        <v>498</v>
      </c>
      <c r="B165" s="231">
        <v>21824681.203431215</v>
      </c>
      <c r="C165" s="231">
        <v>2505655</v>
      </c>
      <c r="D165" s="231">
        <v>15334145</v>
      </c>
      <c r="E165" s="231">
        <v>436753.72000000253</v>
      </c>
      <c r="F165" s="232">
        <v>4314723.2030742681</v>
      </c>
      <c r="G165" s="232">
        <v>3025000</v>
      </c>
      <c r="H165" s="232">
        <v>2856000</v>
      </c>
      <c r="I165" s="232">
        <v>358000</v>
      </c>
      <c r="J165" s="232">
        <v>379000</v>
      </c>
      <c r="K165" s="232">
        <v>140000</v>
      </c>
      <c r="L165" s="232">
        <v>75000</v>
      </c>
      <c r="M165" s="232">
        <v>205000</v>
      </c>
      <c r="N165" s="232">
        <v>118000</v>
      </c>
      <c r="O165" s="232">
        <v>834000</v>
      </c>
    </row>
    <row r="166" spans="1:15" x14ac:dyDescent="0.2">
      <c r="A166" t="s">
        <v>362</v>
      </c>
      <c r="B166" s="231">
        <v>25416873.493137628</v>
      </c>
      <c r="C166" s="231">
        <v>2012099</v>
      </c>
      <c r="D166" s="231">
        <v>12426145</v>
      </c>
      <c r="E166" s="231">
        <v>103266.15999999642</v>
      </c>
      <c r="F166" s="232">
        <v>6277111.9049197454</v>
      </c>
      <c r="G166" s="232">
        <v>2619000</v>
      </c>
      <c r="H166" s="232">
        <v>3155000</v>
      </c>
      <c r="I166" s="232">
        <v>566000</v>
      </c>
      <c r="J166" s="232">
        <v>730000</v>
      </c>
      <c r="K166" s="232">
        <v>213000</v>
      </c>
      <c r="L166" s="232"/>
      <c r="M166" s="232"/>
      <c r="N166" s="232"/>
      <c r="O166" s="232">
        <v>1309000</v>
      </c>
    </row>
    <row r="167" spans="1:15" x14ac:dyDescent="0.2">
      <c r="A167" t="s">
        <v>453</v>
      </c>
      <c r="B167" s="231">
        <v>15798145.565606942</v>
      </c>
      <c r="C167" s="231">
        <v>1462845</v>
      </c>
      <c r="D167" s="231">
        <v>7521524</v>
      </c>
      <c r="E167" s="231">
        <v>112298.61999999918</v>
      </c>
      <c r="F167" s="232">
        <v>2560753.170207731</v>
      </c>
      <c r="G167" s="232"/>
      <c r="H167" s="232">
        <v>0</v>
      </c>
      <c r="I167" s="232"/>
      <c r="J167" s="232"/>
      <c r="K167" s="232"/>
      <c r="L167" s="232"/>
      <c r="M167" s="232"/>
      <c r="N167" s="232"/>
      <c r="O167" s="232"/>
    </row>
    <row r="168" spans="1:15" x14ac:dyDescent="0.2">
      <c r="A168" t="s">
        <v>284</v>
      </c>
      <c r="B168" s="231">
        <v>40175663.728383861</v>
      </c>
      <c r="C168" s="231">
        <v>3662466</v>
      </c>
      <c r="D168" s="231">
        <v>30976717</v>
      </c>
      <c r="E168" s="231">
        <v>445483.69999999553</v>
      </c>
      <c r="F168" s="232">
        <v>10669303.580609379</v>
      </c>
      <c r="G168" s="232">
        <v>5313000</v>
      </c>
      <c r="H168" s="232">
        <v>3847000</v>
      </c>
      <c r="I168" s="232">
        <v>1077000</v>
      </c>
      <c r="J168" s="232">
        <v>823000</v>
      </c>
      <c r="K168" s="232">
        <v>896000</v>
      </c>
      <c r="L168" s="232">
        <v>15000</v>
      </c>
      <c r="M168" s="232"/>
      <c r="N168" s="232"/>
      <c r="O168" s="232">
        <v>1852000</v>
      </c>
    </row>
    <row r="169" spans="1:15" x14ac:dyDescent="0.2">
      <c r="A169" t="s">
        <v>499</v>
      </c>
      <c r="B169" s="231">
        <v>8478953.9328527674</v>
      </c>
      <c r="C169" s="231">
        <v>820482</v>
      </c>
      <c r="D169" s="231">
        <v>4068661</v>
      </c>
      <c r="E169" s="231">
        <v>130887.98000000045</v>
      </c>
      <c r="F169" s="232">
        <v>831904.94974046713</v>
      </c>
      <c r="G169" s="232">
        <v>1273000</v>
      </c>
      <c r="H169" s="232">
        <v>1161000</v>
      </c>
      <c r="I169" s="232">
        <v>207000</v>
      </c>
      <c r="J169" s="232">
        <v>213000</v>
      </c>
      <c r="K169" s="232">
        <v>229000</v>
      </c>
      <c r="L169" s="232">
        <v>120000</v>
      </c>
      <c r="M169" s="232">
        <v>34000</v>
      </c>
      <c r="N169" s="232"/>
      <c r="O169" s="232"/>
    </row>
    <row r="170" spans="1:15" x14ac:dyDescent="0.2">
      <c r="A170" t="s">
        <v>454</v>
      </c>
      <c r="B170" s="231">
        <v>41930621.551309824</v>
      </c>
      <c r="C170" s="231">
        <v>4315130</v>
      </c>
      <c r="D170" s="231">
        <v>27469918</v>
      </c>
      <c r="E170" s="231">
        <v>218753.42000000179</v>
      </c>
      <c r="F170" s="232">
        <v>9892408.3474541754</v>
      </c>
      <c r="G170" s="232">
        <v>6931000</v>
      </c>
      <c r="H170" s="232">
        <v>4550000</v>
      </c>
      <c r="I170" s="232">
        <v>1000000</v>
      </c>
      <c r="J170" s="232">
        <v>1128000</v>
      </c>
      <c r="K170" s="232">
        <v>242000</v>
      </c>
      <c r="L170" s="232">
        <v>258000</v>
      </c>
      <c r="M170" s="232"/>
      <c r="N170" s="232"/>
      <c r="O170" s="232">
        <v>2119000</v>
      </c>
    </row>
    <row r="171" spans="1:15" x14ac:dyDescent="0.2">
      <c r="A171" t="s">
        <v>583</v>
      </c>
      <c r="B171" s="231">
        <v>44603673.880313993</v>
      </c>
      <c r="C171" s="231">
        <v>5855016</v>
      </c>
      <c r="D171" s="231">
        <v>53126008</v>
      </c>
      <c r="E171" s="231">
        <v>343141.1400000006</v>
      </c>
      <c r="F171" s="232">
        <v>26591614.541265205</v>
      </c>
      <c r="G171" s="232">
        <v>5579000</v>
      </c>
      <c r="H171" s="232">
        <v>4660000</v>
      </c>
      <c r="I171" s="232">
        <v>337000</v>
      </c>
      <c r="J171" s="232">
        <v>628000</v>
      </c>
      <c r="K171" s="232">
        <v>72000</v>
      </c>
      <c r="L171" s="232">
        <v>91000</v>
      </c>
      <c r="M171" s="232"/>
      <c r="N171" s="232">
        <v>70000</v>
      </c>
      <c r="O171" s="232">
        <v>750000</v>
      </c>
    </row>
    <row r="172" spans="1:15" x14ac:dyDescent="0.2">
      <c r="A172" t="s">
        <v>407</v>
      </c>
      <c r="B172" s="231">
        <v>14088709.753794562</v>
      </c>
      <c r="C172" s="231">
        <v>1260435</v>
      </c>
      <c r="D172" s="231">
        <v>7838339</v>
      </c>
      <c r="E172" s="231">
        <v>184185.58000000194</v>
      </c>
      <c r="F172" s="232">
        <v>2028775.2413947114</v>
      </c>
      <c r="G172" s="232">
        <v>2437000</v>
      </c>
      <c r="H172" s="232">
        <v>1641000</v>
      </c>
      <c r="I172" s="232">
        <v>215000</v>
      </c>
      <c r="J172" s="232">
        <v>353000</v>
      </c>
      <c r="K172" s="232">
        <v>50000</v>
      </c>
      <c r="L172" s="232"/>
      <c r="M172" s="232">
        <v>29000</v>
      </c>
      <c r="N172" s="232"/>
      <c r="O172" s="232"/>
    </row>
    <row r="173" spans="1:15" x14ac:dyDescent="0.2">
      <c r="A173" t="s">
        <v>633</v>
      </c>
      <c r="B173" s="231">
        <v>11024591.022253076</v>
      </c>
      <c r="C173" s="231">
        <v>1075584</v>
      </c>
      <c r="D173" s="231">
        <v>9210495</v>
      </c>
      <c r="E173" s="231">
        <v>143472.80000000261</v>
      </c>
      <c r="F173" s="232">
        <v>4233854.688114631</v>
      </c>
      <c r="G173" s="232">
        <v>1312000</v>
      </c>
      <c r="H173" s="232">
        <v>1317000</v>
      </c>
      <c r="I173" s="232">
        <v>100000</v>
      </c>
      <c r="J173" s="232">
        <v>167000</v>
      </c>
      <c r="K173" s="232">
        <v>145000</v>
      </c>
      <c r="L173" s="232">
        <v>35000</v>
      </c>
      <c r="M173" s="232">
        <v>11000</v>
      </c>
      <c r="N173" s="232"/>
      <c r="O173" s="232"/>
    </row>
    <row r="174" spans="1:15" x14ac:dyDescent="0.2">
      <c r="A174" t="s">
        <v>455</v>
      </c>
      <c r="B174" s="231">
        <v>7180737.3458818402</v>
      </c>
      <c r="C174" s="231">
        <v>712591</v>
      </c>
      <c r="D174" s="231">
        <v>3980986</v>
      </c>
      <c r="E174" s="231">
        <v>126958.70000000112</v>
      </c>
      <c r="F174" s="232">
        <v>711738.45577212714</v>
      </c>
      <c r="G174" s="232">
        <v>0</v>
      </c>
      <c r="H174" s="232">
        <v>1220000</v>
      </c>
      <c r="I174" s="232">
        <v>282000</v>
      </c>
      <c r="J174" s="232">
        <v>174000</v>
      </c>
      <c r="K174" s="232">
        <v>266000</v>
      </c>
      <c r="L174" s="232">
        <v>44000</v>
      </c>
      <c r="M174" s="232"/>
      <c r="N174" s="232"/>
      <c r="O174" s="232"/>
    </row>
    <row r="175" spans="1:15" x14ac:dyDescent="0.2">
      <c r="A175" t="s">
        <v>456</v>
      </c>
      <c r="B175" s="231">
        <v>21618082.146667782</v>
      </c>
      <c r="C175" s="231">
        <v>2227043</v>
      </c>
      <c r="D175" s="231">
        <v>13588295</v>
      </c>
      <c r="E175" s="231">
        <v>144045.99999999627</v>
      </c>
      <c r="F175" s="232">
        <v>5484331.0666061556</v>
      </c>
      <c r="G175" s="232">
        <v>3146000</v>
      </c>
      <c r="H175" s="232">
        <v>2952000</v>
      </c>
      <c r="I175" s="232">
        <v>706000</v>
      </c>
      <c r="J175" s="232">
        <v>441000</v>
      </c>
      <c r="K175" s="232">
        <v>367000</v>
      </c>
      <c r="L175" s="232"/>
      <c r="M175" s="232"/>
      <c r="N175" s="232"/>
      <c r="O175" s="232"/>
    </row>
    <row r="176" spans="1:15" x14ac:dyDescent="0.2">
      <c r="A176" t="s">
        <v>742</v>
      </c>
      <c r="B176" s="231">
        <v>46591127.797448955</v>
      </c>
      <c r="C176" s="231">
        <v>3758940</v>
      </c>
      <c r="D176" s="231">
        <v>19186274</v>
      </c>
      <c r="E176" s="231">
        <v>387741.53999999911</v>
      </c>
      <c r="F176" s="232">
        <v>8209415.4433169393</v>
      </c>
      <c r="G176" s="232">
        <v>5393000</v>
      </c>
      <c r="H176" s="232">
        <v>6539000</v>
      </c>
      <c r="I176" s="232">
        <v>2089000</v>
      </c>
      <c r="J176" s="232">
        <v>904000</v>
      </c>
      <c r="K176" s="232">
        <v>656000</v>
      </c>
      <c r="L176" s="232">
        <v>96000</v>
      </c>
      <c r="M176" s="232">
        <v>0</v>
      </c>
      <c r="N176" s="232">
        <v>0</v>
      </c>
      <c r="O176" s="232">
        <v>0</v>
      </c>
    </row>
    <row r="177" spans="1:15" x14ac:dyDescent="0.2">
      <c r="A177" t="s">
        <v>542</v>
      </c>
      <c r="B177" s="231">
        <v>13153713.343462914</v>
      </c>
      <c r="C177" s="231">
        <v>1534118</v>
      </c>
      <c r="D177" s="231">
        <v>9831336</v>
      </c>
      <c r="E177" s="231">
        <v>136171.4299999997</v>
      </c>
      <c r="F177" s="232">
        <v>2545317.3243890032</v>
      </c>
      <c r="G177" s="232">
        <v>1461000</v>
      </c>
      <c r="H177" s="232">
        <v>1671000</v>
      </c>
      <c r="I177" s="232">
        <v>754000</v>
      </c>
      <c r="J177" s="232">
        <v>321000</v>
      </c>
      <c r="K177" s="232">
        <v>0</v>
      </c>
      <c r="L177" s="232"/>
      <c r="M177" s="232"/>
      <c r="N177" s="232"/>
      <c r="O177" s="232"/>
    </row>
    <row r="178" spans="1:15" x14ac:dyDescent="0.2">
      <c r="A178" t="s">
        <v>543</v>
      </c>
      <c r="B178" s="231">
        <v>9370112.8667895664</v>
      </c>
      <c r="C178" s="231">
        <v>983541</v>
      </c>
      <c r="D178" s="231">
        <v>8194854</v>
      </c>
      <c r="E178" s="231">
        <v>163886.24999999814</v>
      </c>
      <c r="F178" s="232">
        <v>1017966</v>
      </c>
      <c r="G178" s="232">
        <v>1332000</v>
      </c>
      <c r="H178" s="232">
        <v>1095000</v>
      </c>
      <c r="I178" s="232">
        <v>600000</v>
      </c>
      <c r="J178" s="232">
        <v>224000</v>
      </c>
      <c r="K178" s="232">
        <v>50000</v>
      </c>
      <c r="L178" s="232">
        <v>258000</v>
      </c>
      <c r="M178" s="232">
        <v>13000</v>
      </c>
      <c r="N178" s="232"/>
      <c r="O178" s="232"/>
    </row>
    <row r="179" spans="1:15" x14ac:dyDescent="0.2">
      <c r="A179" t="s">
        <v>584</v>
      </c>
      <c r="B179" s="231">
        <v>31512489.877644744</v>
      </c>
      <c r="C179" s="231">
        <v>4003933</v>
      </c>
      <c r="D179" s="231">
        <v>32123566</v>
      </c>
      <c r="E179" s="231">
        <v>199328.84000000358</v>
      </c>
      <c r="F179" s="232">
        <v>13540759.937202867</v>
      </c>
      <c r="G179" s="232">
        <v>3850000</v>
      </c>
      <c r="H179" s="232">
        <v>3890000</v>
      </c>
      <c r="I179" s="232">
        <v>282000</v>
      </c>
      <c r="J179" s="232">
        <v>527000</v>
      </c>
      <c r="K179" s="232">
        <v>21000</v>
      </c>
      <c r="L179" s="232">
        <v>109000</v>
      </c>
      <c r="M179" s="232"/>
      <c r="N179" s="232"/>
      <c r="O179" s="232"/>
    </row>
    <row r="180" spans="1:15" x14ac:dyDescent="0.2">
      <c r="A180" t="s">
        <v>408</v>
      </c>
      <c r="B180" s="231">
        <v>7109104.2504092362</v>
      </c>
      <c r="C180" s="231">
        <v>677328</v>
      </c>
      <c r="D180" s="231">
        <v>2820723</v>
      </c>
      <c r="E180" s="231">
        <v>72265.660000000149</v>
      </c>
      <c r="F180" s="232">
        <v>1264264.8420210255</v>
      </c>
      <c r="G180" s="232">
        <v>1203000</v>
      </c>
      <c r="H180" s="232">
        <v>1025000</v>
      </c>
      <c r="I180" s="232">
        <v>585000</v>
      </c>
      <c r="J180" s="232">
        <v>198000</v>
      </c>
      <c r="K180" s="232">
        <v>116000</v>
      </c>
      <c r="L180" s="232">
        <v>6000</v>
      </c>
      <c r="M180" s="232"/>
      <c r="N180" s="232"/>
      <c r="O180" s="232"/>
    </row>
    <row r="181" spans="1:15" x14ac:dyDescent="0.2">
      <c r="A181" t="s">
        <v>409</v>
      </c>
      <c r="B181" s="231">
        <v>16434171.128326381</v>
      </c>
      <c r="C181" s="231">
        <v>1421514</v>
      </c>
      <c r="D181" s="231">
        <v>10468814</v>
      </c>
      <c r="E181" s="231">
        <v>99884.499999998137</v>
      </c>
      <c r="F181" s="232">
        <v>3116722.785919799</v>
      </c>
      <c r="G181" s="232">
        <v>2588000</v>
      </c>
      <c r="H181" s="232">
        <v>3339000</v>
      </c>
      <c r="I181" s="232">
        <v>967000</v>
      </c>
      <c r="J181" s="232">
        <v>360000</v>
      </c>
      <c r="K181" s="232">
        <v>303000</v>
      </c>
      <c r="L181" s="232">
        <v>28000</v>
      </c>
      <c r="M181" s="232">
        <v>16000</v>
      </c>
      <c r="N181" s="232"/>
      <c r="O181" s="232"/>
    </row>
    <row r="182" spans="1:15" x14ac:dyDescent="0.2">
      <c r="A182" t="s">
        <v>457</v>
      </c>
      <c r="B182" s="231">
        <v>36707537.508177161</v>
      </c>
      <c r="C182" s="231">
        <v>2110302</v>
      </c>
      <c r="D182" s="231">
        <v>13600530</v>
      </c>
      <c r="E182" s="231">
        <v>170631.8599999994</v>
      </c>
      <c r="F182" s="232">
        <v>7100295.0430251919</v>
      </c>
      <c r="G182" s="232">
        <v>7936000</v>
      </c>
      <c r="H182" s="232">
        <v>5176000</v>
      </c>
      <c r="I182" s="232">
        <v>1971000</v>
      </c>
      <c r="J182" s="232">
        <v>957000</v>
      </c>
      <c r="K182" s="232">
        <v>244000</v>
      </c>
      <c r="L182" s="232"/>
      <c r="M182" s="232"/>
      <c r="N182" s="232"/>
      <c r="O182" s="232"/>
    </row>
    <row r="183" spans="1:15" x14ac:dyDescent="0.2">
      <c r="A183" t="s">
        <v>410</v>
      </c>
      <c r="B183" s="231">
        <v>6272438.2244061856</v>
      </c>
      <c r="C183" s="231">
        <v>750365</v>
      </c>
      <c r="D183" s="231">
        <v>2735056</v>
      </c>
      <c r="E183" s="231">
        <v>18634.520000000484</v>
      </c>
      <c r="F183" s="232">
        <v>1209157.4288073585</v>
      </c>
      <c r="G183" s="232">
        <v>1195000</v>
      </c>
      <c r="H183" s="232">
        <v>861000</v>
      </c>
      <c r="I183" s="232">
        <v>681000</v>
      </c>
      <c r="J183" s="232">
        <v>226000</v>
      </c>
      <c r="K183" s="232">
        <v>65000</v>
      </c>
      <c r="L183" s="232"/>
      <c r="M183" s="232"/>
      <c r="N183" s="232"/>
      <c r="O183" s="232"/>
    </row>
    <row r="184" spans="1:15" x14ac:dyDescent="0.2">
      <c r="A184" t="s">
        <v>239</v>
      </c>
      <c r="B184" s="231">
        <v>15647180.391510582</v>
      </c>
      <c r="C184" s="231">
        <v>1790858</v>
      </c>
      <c r="D184" s="231">
        <v>12190977</v>
      </c>
      <c r="E184" s="231">
        <v>153014.64000000246</v>
      </c>
      <c r="F184" s="232">
        <v>5086394.8786248825</v>
      </c>
      <c r="G184" s="232">
        <v>1568000</v>
      </c>
      <c r="H184" s="232">
        <v>1968000</v>
      </c>
      <c r="I184" s="232">
        <v>330000</v>
      </c>
      <c r="J184" s="232">
        <v>329000</v>
      </c>
      <c r="K184" s="232">
        <v>183000</v>
      </c>
      <c r="L184" s="232"/>
      <c r="M184" s="232">
        <v>5000</v>
      </c>
      <c r="N184" s="232"/>
      <c r="O184" s="232"/>
    </row>
    <row r="185" spans="1:15" x14ac:dyDescent="0.2">
      <c r="A185" t="s">
        <v>458</v>
      </c>
      <c r="B185" s="231">
        <v>16789756.149737801</v>
      </c>
      <c r="C185" s="231">
        <v>1789378</v>
      </c>
      <c r="D185" s="231">
        <v>9036271</v>
      </c>
      <c r="E185" s="231">
        <v>109533.94000000134</v>
      </c>
      <c r="F185" s="232">
        <v>4269733.4070294723</v>
      </c>
      <c r="G185" s="232">
        <v>2077000</v>
      </c>
      <c r="H185" s="232">
        <v>2866000</v>
      </c>
      <c r="I185" s="232">
        <v>373000</v>
      </c>
      <c r="J185" s="232">
        <v>405000</v>
      </c>
      <c r="K185" s="232">
        <v>338000</v>
      </c>
      <c r="L185" s="232"/>
      <c r="M185" s="232"/>
      <c r="N185" s="232"/>
      <c r="O185" s="232">
        <v>650000</v>
      </c>
    </row>
    <row r="186" spans="1:15" x14ac:dyDescent="0.2">
      <c r="A186" t="s">
        <v>262</v>
      </c>
      <c r="B186" s="231">
        <v>114234154.25059995</v>
      </c>
      <c r="C186" s="231">
        <v>9534661</v>
      </c>
      <c r="D186" s="231">
        <v>129477139</v>
      </c>
      <c r="E186" s="231">
        <v>22876547.270000011</v>
      </c>
      <c r="F186" s="232">
        <v>72909788.350883216</v>
      </c>
      <c r="G186" s="232">
        <v>10603000</v>
      </c>
      <c r="H186" s="232">
        <v>13903000</v>
      </c>
      <c r="I186" s="232">
        <v>2657000</v>
      </c>
      <c r="J186" s="232">
        <v>1587000</v>
      </c>
      <c r="K186" s="232">
        <v>772000</v>
      </c>
      <c r="L186" s="232"/>
      <c r="M186" s="232"/>
      <c r="N186" s="232"/>
      <c r="O186" s="232">
        <v>3013000</v>
      </c>
    </row>
    <row r="187" spans="1:15" x14ac:dyDescent="0.2">
      <c r="A187" t="s">
        <v>263</v>
      </c>
      <c r="B187" s="231">
        <v>7858599.8117742212</v>
      </c>
      <c r="C187" s="231">
        <v>873570</v>
      </c>
      <c r="D187" s="231">
        <v>5611181</v>
      </c>
      <c r="E187" s="231">
        <v>53816.969999999739</v>
      </c>
      <c r="F187" s="232">
        <v>2462939.3145200154</v>
      </c>
      <c r="G187" s="232">
        <v>1038000</v>
      </c>
      <c r="H187" s="232">
        <v>1008000</v>
      </c>
      <c r="I187" s="232">
        <v>152000</v>
      </c>
      <c r="J187" s="232">
        <v>171000</v>
      </c>
      <c r="K187" s="232">
        <v>0</v>
      </c>
      <c r="L187" s="232"/>
      <c r="M187" s="232">
        <v>3000</v>
      </c>
      <c r="N187" s="232"/>
      <c r="O187" s="232"/>
    </row>
    <row r="188" spans="1:15" x14ac:dyDescent="0.2">
      <c r="A188" t="s">
        <v>459</v>
      </c>
      <c r="B188" s="231">
        <v>121283199.5008208</v>
      </c>
      <c r="C188" s="231">
        <v>7498045</v>
      </c>
      <c r="D188" s="231">
        <v>84067092</v>
      </c>
      <c r="E188" s="231">
        <v>16343702.480000004</v>
      </c>
      <c r="F188" s="232">
        <v>46879370.305572554</v>
      </c>
      <c r="G188" s="232">
        <v>10556000</v>
      </c>
      <c r="H188" s="232">
        <v>5865000</v>
      </c>
      <c r="I188" s="232">
        <v>3653000</v>
      </c>
      <c r="J188" s="232">
        <v>2453000</v>
      </c>
      <c r="K188" s="232">
        <v>0</v>
      </c>
      <c r="L188" s="232">
        <v>380000</v>
      </c>
      <c r="M188" s="232"/>
      <c r="N188" s="232"/>
      <c r="O188" s="232">
        <v>9608000</v>
      </c>
    </row>
    <row r="189" spans="1:15" x14ac:dyDescent="0.2">
      <c r="A189" t="s">
        <v>460</v>
      </c>
      <c r="B189" s="231">
        <v>19630030.736769363</v>
      </c>
      <c r="C189" s="231">
        <v>1893770</v>
      </c>
      <c r="D189" s="231">
        <v>11826505</v>
      </c>
      <c r="E189" s="231">
        <v>65975.980000000447</v>
      </c>
      <c r="F189" s="232">
        <v>5094625.094466649</v>
      </c>
      <c r="G189" s="232">
        <v>2926000</v>
      </c>
      <c r="H189" s="232">
        <v>1434000</v>
      </c>
      <c r="I189" s="232">
        <v>292000</v>
      </c>
      <c r="J189" s="232">
        <v>476000</v>
      </c>
      <c r="K189" s="232">
        <v>365000</v>
      </c>
      <c r="L189" s="232">
        <v>95000</v>
      </c>
      <c r="M189" s="232"/>
      <c r="N189" s="232"/>
      <c r="O189" s="232"/>
    </row>
    <row r="190" spans="1:15" x14ac:dyDescent="0.2">
      <c r="A190" t="s">
        <v>461</v>
      </c>
      <c r="B190" s="231">
        <v>60699064.739847273</v>
      </c>
      <c r="C190" s="231">
        <v>6251765</v>
      </c>
      <c r="D190" s="231">
        <v>26374294</v>
      </c>
      <c r="E190" s="231">
        <v>171593.46000000834</v>
      </c>
      <c r="F190" s="232">
        <v>23897130.916203715</v>
      </c>
      <c r="G190" s="232">
        <v>10325000</v>
      </c>
      <c r="H190" s="232">
        <v>4878000</v>
      </c>
      <c r="I190" s="232">
        <v>459000</v>
      </c>
      <c r="J190" s="232">
        <v>1384000</v>
      </c>
      <c r="K190" s="232">
        <v>1074000</v>
      </c>
      <c r="L190" s="232">
        <v>100000</v>
      </c>
      <c r="M190" s="232"/>
      <c r="N190" s="232"/>
      <c r="O190" s="232">
        <v>178000</v>
      </c>
    </row>
    <row r="191" spans="1:15" x14ac:dyDescent="0.2">
      <c r="A191" t="s">
        <v>608</v>
      </c>
      <c r="B191" s="231">
        <v>84207153.191830188</v>
      </c>
      <c r="C191" s="231">
        <v>4758746</v>
      </c>
      <c r="D191" s="231">
        <v>51645352</v>
      </c>
      <c r="E191" s="231">
        <v>1140515.4199999869</v>
      </c>
      <c r="F191" s="232">
        <v>31372131.29731071</v>
      </c>
      <c r="G191" s="232">
        <v>8023000</v>
      </c>
      <c r="H191" s="232">
        <v>2842000</v>
      </c>
      <c r="I191" s="232">
        <v>927000</v>
      </c>
      <c r="J191" s="232">
        <v>1387000</v>
      </c>
      <c r="K191" s="232">
        <v>420000</v>
      </c>
      <c r="L191" s="232"/>
      <c r="M191" s="232"/>
      <c r="N191" s="232"/>
      <c r="O191" s="232">
        <v>2758000</v>
      </c>
    </row>
    <row r="192" spans="1:15" x14ac:dyDescent="0.2">
      <c r="A192" t="s">
        <v>585</v>
      </c>
      <c r="B192" s="231">
        <v>24882779.896071248</v>
      </c>
      <c r="C192" s="231">
        <v>2642124</v>
      </c>
      <c r="D192" s="231">
        <v>20153303</v>
      </c>
      <c r="E192" s="231">
        <v>192590.8200000003</v>
      </c>
      <c r="F192" s="232">
        <v>4365612.3064836822</v>
      </c>
      <c r="G192" s="232">
        <v>2378000</v>
      </c>
      <c r="H192" s="232">
        <v>4411000</v>
      </c>
      <c r="I192" s="232">
        <v>666000</v>
      </c>
      <c r="J192" s="232">
        <v>615000</v>
      </c>
      <c r="K192" s="232">
        <v>15000</v>
      </c>
      <c r="L192" s="232">
        <v>466000</v>
      </c>
      <c r="M192" s="232"/>
      <c r="N192" s="232"/>
      <c r="O192" s="232"/>
    </row>
    <row r="193" spans="1:15" x14ac:dyDescent="0.2">
      <c r="A193" t="s">
        <v>363</v>
      </c>
      <c r="B193" s="231">
        <v>16904410.531621378</v>
      </c>
      <c r="C193" s="231">
        <v>1593507</v>
      </c>
      <c r="D193" s="231">
        <v>10308675</v>
      </c>
      <c r="E193" s="231">
        <v>116146</v>
      </c>
      <c r="F193" s="232">
        <v>3040025.6640933529</v>
      </c>
      <c r="G193" s="232">
        <v>1796000</v>
      </c>
      <c r="H193" s="232">
        <v>1754000</v>
      </c>
      <c r="I193" s="232">
        <v>736000</v>
      </c>
      <c r="J193" s="232">
        <v>438000</v>
      </c>
      <c r="K193" s="232">
        <v>32000</v>
      </c>
      <c r="L193" s="232">
        <v>149000</v>
      </c>
      <c r="M193" s="232"/>
      <c r="N193" s="232"/>
      <c r="O193" s="232"/>
    </row>
    <row r="194" spans="1:15" x14ac:dyDescent="0.2">
      <c r="A194" t="s">
        <v>322</v>
      </c>
      <c r="B194" s="231">
        <v>7514645.4516794002</v>
      </c>
      <c r="C194" s="231">
        <v>677362</v>
      </c>
      <c r="D194" s="231">
        <v>2813142</v>
      </c>
      <c r="E194" s="231">
        <v>66286.980000001378</v>
      </c>
      <c r="F194" s="232">
        <v>1150061</v>
      </c>
      <c r="G194" s="232">
        <v>0</v>
      </c>
      <c r="H194" s="232">
        <v>1137000</v>
      </c>
      <c r="I194" s="232">
        <v>255000</v>
      </c>
      <c r="J194" s="232">
        <v>230000</v>
      </c>
      <c r="K194" s="232">
        <v>170000</v>
      </c>
      <c r="L194" s="232">
        <v>38000</v>
      </c>
      <c r="M194" s="232"/>
      <c r="N194" s="232"/>
      <c r="O194" s="232"/>
    </row>
    <row r="195" spans="1:15" x14ac:dyDescent="0.2">
      <c r="A195" t="s">
        <v>323</v>
      </c>
      <c r="B195" s="231">
        <v>29146734.79934907</v>
      </c>
      <c r="C195" s="231">
        <v>3076306</v>
      </c>
      <c r="D195" s="231">
        <v>18697932</v>
      </c>
      <c r="E195" s="231">
        <v>228426.48000000417</v>
      </c>
      <c r="F195" s="232">
        <v>6739064.6496926006</v>
      </c>
      <c r="G195" s="232">
        <v>3023000</v>
      </c>
      <c r="H195" s="232">
        <v>3995000</v>
      </c>
      <c r="I195" s="232">
        <v>300000</v>
      </c>
      <c r="J195" s="232">
        <v>775000</v>
      </c>
      <c r="K195" s="232">
        <v>339000</v>
      </c>
      <c r="L195" s="232">
        <v>87000</v>
      </c>
      <c r="M195" s="232"/>
      <c r="N195" s="232"/>
      <c r="O195" s="232"/>
    </row>
    <row r="196" spans="1:15" x14ac:dyDescent="0.2">
      <c r="A196" t="s">
        <v>462</v>
      </c>
      <c r="B196" s="231">
        <v>14682164.610515382</v>
      </c>
      <c r="C196" s="231">
        <v>1614510</v>
      </c>
      <c r="D196" s="231">
        <v>9053062</v>
      </c>
      <c r="E196" s="231">
        <v>65418.300000000745</v>
      </c>
      <c r="F196" s="232">
        <v>2581616.8148568557</v>
      </c>
      <c r="G196" s="232">
        <v>2699000</v>
      </c>
      <c r="H196" s="232">
        <v>2006000</v>
      </c>
      <c r="I196" s="232">
        <v>698000</v>
      </c>
      <c r="J196" s="232">
        <v>396000</v>
      </c>
      <c r="K196" s="232">
        <v>0</v>
      </c>
      <c r="L196" s="232">
        <v>84000</v>
      </c>
      <c r="M196" s="232"/>
      <c r="N196" s="232"/>
      <c r="O196" s="232"/>
    </row>
    <row r="197" spans="1:15" x14ac:dyDescent="0.2">
      <c r="A197" t="s">
        <v>264</v>
      </c>
      <c r="B197" s="231">
        <v>9095964.6761866175</v>
      </c>
      <c r="C197" s="231">
        <v>667754</v>
      </c>
      <c r="D197" s="231">
        <v>4203619</v>
      </c>
      <c r="E197" s="231">
        <v>188982.22000000067</v>
      </c>
      <c r="F197" s="232">
        <v>1794751.9846582366</v>
      </c>
      <c r="G197" s="232">
        <v>895000</v>
      </c>
      <c r="H197" s="232">
        <v>969000</v>
      </c>
      <c r="I197" s="232">
        <v>236000</v>
      </c>
      <c r="J197" s="232">
        <v>148000</v>
      </c>
      <c r="K197" s="232">
        <v>3000</v>
      </c>
      <c r="L197" s="232"/>
      <c r="M197" s="232">
        <v>19000</v>
      </c>
      <c r="N197" s="232"/>
      <c r="O197" s="232"/>
    </row>
    <row r="198" spans="1:15" x14ac:dyDescent="0.2">
      <c r="A198" t="s">
        <v>324</v>
      </c>
      <c r="B198" s="231">
        <v>23151031.814280339</v>
      </c>
      <c r="C198" s="231">
        <v>2743758</v>
      </c>
      <c r="D198" s="231">
        <v>14463319</v>
      </c>
      <c r="E198" s="231">
        <v>210705.92000000179</v>
      </c>
      <c r="F198" s="232">
        <v>4561410.1415943056</v>
      </c>
      <c r="G198" s="232">
        <v>3429000</v>
      </c>
      <c r="H198" s="232">
        <v>4484000</v>
      </c>
      <c r="I198" s="232">
        <v>665000</v>
      </c>
      <c r="J198" s="232">
        <v>549000</v>
      </c>
      <c r="K198" s="232">
        <v>316000</v>
      </c>
      <c r="L198" s="232">
        <v>404000</v>
      </c>
      <c r="M198" s="232">
        <v>154000</v>
      </c>
      <c r="N198" s="232"/>
      <c r="O198" s="232">
        <v>29000</v>
      </c>
    </row>
    <row r="199" spans="1:15" x14ac:dyDescent="0.2">
      <c r="A199" t="s">
        <v>544</v>
      </c>
      <c r="B199" s="231">
        <v>14547636.300914863</v>
      </c>
      <c r="C199" s="231">
        <v>1868316</v>
      </c>
      <c r="D199" s="231">
        <v>11108244</v>
      </c>
      <c r="E199" s="231">
        <v>93879.900000000373</v>
      </c>
      <c r="F199" s="232">
        <v>3369168.9742171559</v>
      </c>
      <c r="G199" s="232">
        <v>1993000</v>
      </c>
      <c r="H199" s="232">
        <v>2382000</v>
      </c>
      <c r="I199" s="232">
        <v>300000</v>
      </c>
      <c r="J199" s="232">
        <v>401000</v>
      </c>
      <c r="K199" s="232">
        <v>0</v>
      </c>
      <c r="L199" s="232">
        <v>740000</v>
      </c>
      <c r="M199" s="232"/>
      <c r="N199" s="232">
        <v>106000</v>
      </c>
      <c r="O199" s="232"/>
    </row>
    <row r="200" spans="1:15" x14ac:dyDescent="0.2">
      <c r="A200" t="s">
        <v>364</v>
      </c>
      <c r="B200" s="231">
        <v>9714258.1914334446</v>
      </c>
      <c r="C200" s="231">
        <v>695274</v>
      </c>
      <c r="D200" s="231">
        <v>5131913</v>
      </c>
      <c r="E200" s="231">
        <v>138576.24000000022</v>
      </c>
      <c r="F200" s="232">
        <v>1316774.1318460817</v>
      </c>
      <c r="G200" s="232">
        <v>952000</v>
      </c>
      <c r="H200" s="232">
        <v>919000</v>
      </c>
      <c r="I200" s="232">
        <v>450000</v>
      </c>
      <c r="J200" s="232">
        <v>228000</v>
      </c>
      <c r="K200" s="232">
        <v>112000</v>
      </c>
      <c r="L200" s="232">
        <v>25000</v>
      </c>
      <c r="M200" s="232"/>
      <c r="N200" s="232"/>
      <c r="O200" s="232"/>
    </row>
    <row r="201" spans="1:15" x14ac:dyDescent="0.2">
      <c r="A201" t="s">
        <v>240</v>
      </c>
      <c r="B201" s="231">
        <v>9473055.2065321021</v>
      </c>
      <c r="C201" s="231">
        <v>936824</v>
      </c>
      <c r="D201" s="231">
        <v>6378957</v>
      </c>
      <c r="E201" s="231">
        <v>323648.51999999955</v>
      </c>
      <c r="F201" s="232">
        <v>2801389.4757245993</v>
      </c>
      <c r="G201" s="232">
        <v>1135000</v>
      </c>
      <c r="H201" s="232">
        <v>1316000</v>
      </c>
      <c r="I201" s="232">
        <v>135000</v>
      </c>
      <c r="J201" s="232">
        <v>150000</v>
      </c>
      <c r="K201" s="232">
        <v>99000</v>
      </c>
      <c r="L201" s="232"/>
      <c r="M201" s="232">
        <v>10000</v>
      </c>
      <c r="N201" s="232"/>
      <c r="O201" s="232"/>
    </row>
    <row r="202" spans="1:15" x14ac:dyDescent="0.2">
      <c r="A202" t="s">
        <v>285</v>
      </c>
      <c r="B202" s="231">
        <v>16077145.524388261</v>
      </c>
      <c r="C202" s="231">
        <v>1955458</v>
      </c>
      <c r="D202" s="231">
        <v>13507038</v>
      </c>
      <c r="E202" s="231">
        <v>192887.46000000089</v>
      </c>
      <c r="F202" s="232">
        <v>4529670.7431654045</v>
      </c>
      <c r="G202" s="232">
        <v>1960000</v>
      </c>
      <c r="H202" s="232">
        <v>2168000</v>
      </c>
      <c r="I202" s="232">
        <v>426000</v>
      </c>
      <c r="J202" s="232">
        <v>363000</v>
      </c>
      <c r="K202" s="232">
        <v>1000</v>
      </c>
      <c r="L202" s="232">
        <v>180000</v>
      </c>
      <c r="M202" s="232">
        <v>20000</v>
      </c>
      <c r="N202" s="232"/>
      <c r="O202" s="232"/>
    </row>
    <row r="203" spans="1:15" x14ac:dyDescent="0.2">
      <c r="A203" t="s">
        <v>325</v>
      </c>
      <c r="B203" s="231">
        <v>15026370.737403179</v>
      </c>
      <c r="C203" s="231">
        <v>1549644</v>
      </c>
      <c r="D203" s="231">
        <v>9859936</v>
      </c>
      <c r="E203" s="231">
        <v>123176.09999999963</v>
      </c>
      <c r="F203" s="232">
        <v>2694961.7644655444</v>
      </c>
      <c r="G203" s="232">
        <v>0</v>
      </c>
      <c r="H203" s="232">
        <v>2959000</v>
      </c>
      <c r="I203" s="232">
        <v>489000</v>
      </c>
      <c r="J203" s="232">
        <v>409000</v>
      </c>
      <c r="K203" s="232">
        <v>85000</v>
      </c>
      <c r="L203" s="232">
        <v>168000</v>
      </c>
      <c r="M203" s="232"/>
      <c r="N203" s="232"/>
      <c r="O203" s="232"/>
    </row>
    <row r="204" spans="1:15" x14ac:dyDescent="0.2">
      <c r="A204" t="s">
        <v>586</v>
      </c>
      <c r="B204" s="231">
        <v>15960608.792624585</v>
      </c>
      <c r="C204" s="231">
        <v>2305798</v>
      </c>
      <c r="D204" s="231">
        <v>10868493</v>
      </c>
      <c r="E204" s="231">
        <v>509641.33999999985</v>
      </c>
      <c r="F204" s="232">
        <v>3612677.5411676997</v>
      </c>
      <c r="G204" s="232">
        <v>1927000</v>
      </c>
      <c r="H204" s="232">
        <v>2269000</v>
      </c>
      <c r="I204" s="232">
        <v>430000</v>
      </c>
      <c r="J204" s="232">
        <v>384000</v>
      </c>
      <c r="K204" s="232">
        <v>93000</v>
      </c>
      <c r="L204" s="232">
        <v>207000</v>
      </c>
      <c r="M204" s="232">
        <v>146000</v>
      </c>
      <c r="N204" s="232"/>
      <c r="O204" s="232">
        <v>75000</v>
      </c>
    </row>
    <row r="205" spans="1:15" x14ac:dyDescent="0.2">
      <c r="A205" t="s">
        <v>463</v>
      </c>
      <c r="B205" s="231">
        <v>27254248.469967887</v>
      </c>
      <c r="C205" s="231">
        <v>2599550</v>
      </c>
      <c r="D205" s="231">
        <v>17267266</v>
      </c>
      <c r="E205" s="231">
        <v>129396.53999999911</v>
      </c>
      <c r="F205" s="232">
        <v>11388985.601183312</v>
      </c>
      <c r="G205" s="232">
        <v>3906000</v>
      </c>
      <c r="H205" s="232">
        <v>2538000</v>
      </c>
      <c r="I205" s="232">
        <v>255000</v>
      </c>
      <c r="J205" s="232">
        <v>447000</v>
      </c>
      <c r="K205" s="232">
        <v>299000</v>
      </c>
      <c r="L205" s="232"/>
      <c r="M205" s="232"/>
      <c r="N205" s="232"/>
      <c r="O205" s="232"/>
    </row>
    <row r="206" spans="1:15" x14ac:dyDescent="0.2">
      <c r="A206" t="s">
        <v>587</v>
      </c>
      <c r="B206" s="231">
        <v>110497202.71648166</v>
      </c>
      <c r="C206" s="231">
        <v>11727223</v>
      </c>
      <c r="D206" s="231">
        <v>114643236</v>
      </c>
      <c r="E206" s="231">
        <v>10392561.659999996</v>
      </c>
      <c r="F206" s="232">
        <v>60737294.879242264</v>
      </c>
      <c r="G206" s="232">
        <v>16225000</v>
      </c>
      <c r="H206" s="232">
        <v>13024000</v>
      </c>
      <c r="I206" s="232">
        <v>3498000</v>
      </c>
      <c r="J206" s="232">
        <v>2179000</v>
      </c>
      <c r="K206" s="232">
        <v>583000</v>
      </c>
      <c r="L206" s="232">
        <v>2508000</v>
      </c>
      <c r="M206" s="232"/>
      <c r="N206" s="232">
        <v>916000</v>
      </c>
      <c r="O206" s="232">
        <v>9853000</v>
      </c>
    </row>
    <row r="207" spans="1:15" x14ac:dyDescent="0.2">
      <c r="A207" t="s">
        <v>241</v>
      </c>
      <c r="B207" s="231">
        <v>7684993.1765941065</v>
      </c>
      <c r="C207" s="231">
        <v>688073</v>
      </c>
      <c r="D207" s="231">
        <v>5652262</v>
      </c>
      <c r="E207" s="231">
        <v>60935.560000000522</v>
      </c>
      <c r="F207" s="232">
        <v>2106917.1296215584</v>
      </c>
      <c r="G207" s="232">
        <v>963000</v>
      </c>
      <c r="H207" s="232">
        <v>1308000</v>
      </c>
      <c r="I207" s="232">
        <v>80000</v>
      </c>
      <c r="J207" s="232">
        <v>177000</v>
      </c>
      <c r="K207" s="232">
        <v>77000</v>
      </c>
      <c r="L207" s="232"/>
      <c r="M207" s="232"/>
      <c r="N207" s="232"/>
      <c r="O207" s="232"/>
    </row>
    <row r="208" spans="1:15" x14ac:dyDescent="0.2">
      <c r="A208" t="s">
        <v>411</v>
      </c>
      <c r="B208" s="231">
        <v>29755928.944105126</v>
      </c>
      <c r="C208" s="231">
        <v>2834884</v>
      </c>
      <c r="D208" s="231">
        <v>16025904</v>
      </c>
      <c r="E208" s="231">
        <v>317580.05999999493</v>
      </c>
      <c r="F208" s="232">
        <v>6207943.7675666157</v>
      </c>
      <c r="G208" s="232">
        <v>5672000</v>
      </c>
      <c r="H208" s="232">
        <v>3240000</v>
      </c>
      <c r="I208" s="232">
        <v>550000</v>
      </c>
      <c r="J208" s="232">
        <v>854000</v>
      </c>
      <c r="K208" s="232">
        <v>261000</v>
      </c>
      <c r="L208" s="232">
        <v>683000</v>
      </c>
      <c r="M208" s="232">
        <v>140000</v>
      </c>
      <c r="N208" s="232"/>
      <c r="O208" s="232"/>
    </row>
    <row r="209" spans="1:15" x14ac:dyDescent="0.2">
      <c r="A209" t="s">
        <v>588</v>
      </c>
      <c r="B209" s="231">
        <v>12930344.006675731</v>
      </c>
      <c r="C209" s="231">
        <v>1639742</v>
      </c>
      <c r="D209" s="231">
        <v>9996051</v>
      </c>
      <c r="E209" s="231">
        <v>106644.91999999806</v>
      </c>
      <c r="F209" s="232">
        <v>2935798.6325141015</v>
      </c>
      <c r="G209" s="232">
        <v>1742000</v>
      </c>
      <c r="H209" s="232">
        <v>2526000</v>
      </c>
      <c r="I209" s="232">
        <v>119000</v>
      </c>
      <c r="J209" s="232">
        <v>248000</v>
      </c>
      <c r="K209" s="232">
        <v>96000</v>
      </c>
      <c r="L209" s="232">
        <v>25000</v>
      </c>
      <c r="M209" s="232"/>
      <c r="N209" s="232">
        <v>33000</v>
      </c>
      <c r="O209" s="232">
        <v>264000</v>
      </c>
    </row>
    <row r="210" spans="1:15" x14ac:dyDescent="0.2">
      <c r="A210" t="s">
        <v>265</v>
      </c>
      <c r="B210" s="231">
        <v>9906114.0914519038</v>
      </c>
      <c r="C210" s="231">
        <v>1005522</v>
      </c>
      <c r="D210" s="231">
        <v>6235326</v>
      </c>
      <c r="E210" s="231">
        <v>105509.66999999993</v>
      </c>
      <c r="F210" s="232">
        <v>2561229.1875481992</v>
      </c>
      <c r="G210" s="232">
        <v>1344000</v>
      </c>
      <c r="H210" s="232">
        <v>1394000</v>
      </c>
      <c r="I210" s="232">
        <v>95000</v>
      </c>
      <c r="J210" s="232">
        <v>204000</v>
      </c>
      <c r="K210" s="232">
        <v>0</v>
      </c>
      <c r="L210" s="232"/>
      <c r="M210" s="232">
        <v>2000</v>
      </c>
      <c r="N210" s="232"/>
      <c r="O210" s="232"/>
    </row>
    <row r="211" spans="1:15" x14ac:dyDescent="0.2">
      <c r="A211" t="s">
        <v>242</v>
      </c>
      <c r="B211" s="231">
        <v>10050155.66702364</v>
      </c>
      <c r="C211" s="231">
        <v>1089411</v>
      </c>
      <c r="D211" s="231">
        <v>10118399</v>
      </c>
      <c r="E211" s="231">
        <v>161606.59999999776</v>
      </c>
      <c r="F211" s="232">
        <v>4295062.4424177473</v>
      </c>
      <c r="G211" s="232">
        <v>1320000</v>
      </c>
      <c r="H211" s="232">
        <v>1457000</v>
      </c>
      <c r="I211" s="232">
        <v>148000</v>
      </c>
      <c r="J211" s="232">
        <v>215000</v>
      </c>
      <c r="K211" s="232">
        <v>61000</v>
      </c>
      <c r="L211" s="232">
        <v>33000</v>
      </c>
      <c r="M211" s="232"/>
      <c r="N211" s="232"/>
      <c r="O211" s="232"/>
    </row>
    <row r="212" spans="1:15" x14ac:dyDescent="0.2">
      <c r="A212" t="s">
        <v>222</v>
      </c>
      <c r="B212" s="231">
        <v>27816852.484471448</v>
      </c>
      <c r="C212" s="231">
        <v>2665569</v>
      </c>
      <c r="D212" s="231">
        <v>22609840</v>
      </c>
      <c r="E212" s="231">
        <v>279613.66000000387</v>
      </c>
      <c r="F212" s="232">
        <v>9621847.0253422223</v>
      </c>
      <c r="G212" s="232">
        <v>3401000</v>
      </c>
      <c r="H212" s="232">
        <v>2625000</v>
      </c>
      <c r="I212" s="232">
        <v>840000</v>
      </c>
      <c r="J212" s="232">
        <v>473000</v>
      </c>
      <c r="K212" s="232">
        <v>279000</v>
      </c>
      <c r="L212" s="232"/>
      <c r="M212" s="232"/>
      <c r="N212" s="232"/>
      <c r="O212" s="232">
        <v>1977000</v>
      </c>
    </row>
    <row r="213" spans="1:15" x14ac:dyDescent="0.2">
      <c r="A213" t="s">
        <v>500</v>
      </c>
      <c r="B213" s="231">
        <v>44221276.433547258</v>
      </c>
      <c r="C213" s="231">
        <v>4147525</v>
      </c>
      <c r="D213" s="231">
        <v>28764584</v>
      </c>
      <c r="E213" s="231">
        <v>590937.81999999285</v>
      </c>
      <c r="F213" s="232">
        <v>16533169.241379617</v>
      </c>
      <c r="G213" s="232">
        <v>5823000</v>
      </c>
      <c r="H213" s="232">
        <v>8738000</v>
      </c>
      <c r="I213" s="232">
        <v>988000</v>
      </c>
      <c r="J213" s="232">
        <v>873000</v>
      </c>
      <c r="K213" s="232">
        <v>442000</v>
      </c>
      <c r="L213" s="232">
        <v>286000</v>
      </c>
      <c r="M213" s="232">
        <v>64000</v>
      </c>
      <c r="N213" s="232">
        <v>160000</v>
      </c>
      <c r="O213" s="232">
        <v>4420000</v>
      </c>
    </row>
    <row r="214" spans="1:15" x14ac:dyDescent="0.2">
      <c r="A214" t="s">
        <v>635</v>
      </c>
      <c r="B214" s="231">
        <v>25715228.116763327</v>
      </c>
      <c r="C214" s="231">
        <v>2656924</v>
      </c>
      <c r="D214" s="231">
        <v>18188139</v>
      </c>
      <c r="E214" s="231">
        <v>292376.98000000045</v>
      </c>
      <c r="F214" s="232">
        <v>1527370.3602591055</v>
      </c>
      <c r="G214" s="232">
        <v>2142000</v>
      </c>
      <c r="H214" s="232">
        <v>2153000</v>
      </c>
      <c r="I214" s="232">
        <v>505000</v>
      </c>
      <c r="J214" s="232">
        <v>277000</v>
      </c>
      <c r="K214" s="232">
        <v>95000</v>
      </c>
      <c r="L214" s="232"/>
      <c r="M214" s="232"/>
      <c r="N214" s="232"/>
      <c r="O214" s="232"/>
    </row>
    <row r="215" spans="1:15" x14ac:dyDescent="0.2">
      <c r="A215" t="s">
        <v>464</v>
      </c>
      <c r="B215" s="231">
        <v>10962051.832367951</v>
      </c>
      <c r="C215" s="231">
        <v>838269</v>
      </c>
      <c r="D215" s="231">
        <v>4349615</v>
      </c>
      <c r="E215" s="231">
        <v>84925.740000000224</v>
      </c>
      <c r="F215" s="232">
        <v>5846890.8333638459</v>
      </c>
      <c r="G215" s="232">
        <v>3036000</v>
      </c>
      <c r="H215" s="232">
        <v>3596000</v>
      </c>
      <c r="I215" s="232">
        <v>933000</v>
      </c>
      <c r="J215" s="232">
        <v>496000</v>
      </c>
      <c r="K215" s="232">
        <v>427000</v>
      </c>
      <c r="L215" s="232">
        <v>889000</v>
      </c>
      <c r="M215" s="232">
        <v>162000</v>
      </c>
      <c r="N215" s="232"/>
      <c r="O215" s="232"/>
    </row>
    <row r="216" spans="1:15" x14ac:dyDescent="0.2">
      <c r="A216" t="s">
        <v>546</v>
      </c>
      <c r="B216" s="231">
        <v>7201958.5371038783</v>
      </c>
      <c r="C216" s="231">
        <v>859478</v>
      </c>
      <c r="D216" s="231">
        <v>5901162</v>
      </c>
      <c r="E216" s="231">
        <v>181367.65000000037</v>
      </c>
      <c r="F216" s="232">
        <v>1255008</v>
      </c>
      <c r="G216" s="232">
        <v>699000</v>
      </c>
      <c r="H216" s="232">
        <v>1029000</v>
      </c>
      <c r="I216" s="232">
        <v>641000</v>
      </c>
      <c r="J216" s="232">
        <v>189000</v>
      </c>
      <c r="K216" s="232">
        <v>0</v>
      </c>
      <c r="L216" s="232">
        <v>31000</v>
      </c>
      <c r="M216" s="232"/>
      <c r="N216" s="232"/>
      <c r="O216" s="232"/>
    </row>
    <row r="217" spans="1:15" x14ac:dyDescent="0.2">
      <c r="A217" t="s">
        <v>547</v>
      </c>
      <c r="B217" s="231">
        <v>23286620.568502188</v>
      </c>
      <c r="C217" s="231">
        <v>2701165</v>
      </c>
      <c r="D217" s="231">
        <v>15767299</v>
      </c>
      <c r="E217" s="231">
        <v>759518.65999999642</v>
      </c>
      <c r="F217" s="232">
        <v>5682377.2508947812</v>
      </c>
      <c r="G217" s="232">
        <v>3972000</v>
      </c>
      <c r="H217" s="232">
        <v>3556000</v>
      </c>
      <c r="I217" s="232">
        <v>1053000</v>
      </c>
      <c r="J217" s="232">
        <v>528000</v>
      </c>
      <c r="K217" s="232">
        <v>87000</v>
      </c>
      <c r="L217" s="232">
        <v>130000</v>
      </c>
      <c r="M217" s="232"/>
      <c r="N217" s="232"/>
      <c r="O217" s="232"/>
    </row>
    <row r="218" spans="1:15" x14ac:dyDescent="0.2">
      <c r="A218" t="s">
        <v>465</v>
      </c>
      <c r="B218" s="231">
        <v>20508983.573502962</v>
      </c>
      <c r="C218" s="231">
        <v>1434347</v>
      </c>
      <c r="D218" s="231">
        <v>10460946</v>
      </c>
      <c r="E218" s="231">
        <v>347442.51999999955</v>
      </c>
      <c r="F218" s="232">
        <v>2788251.8509716452</v>
      </c>
      <c r="G218" s="232">
        <v>2472000</v>
      </c>
      <c r="H218" s="232">
        <v>3811000</v>
      </c>
      <c r="I218" s="232">
        <v>769000</v>
      </c>
      <c r="J218" s="232">
        <v>518000</v>
      </c>
      <c r="K218" s="232">
        <v>692000</v>
      </c>
      <c r="L218" s="232">
        <v>34000</v>
      </c>
      <c r="M218" s="232"/>
      <c r="N218" s="232"/>
      <c r="O218" s="232"/>
    </row>
    <row r="219" spans="1:15" x14ac:dyDescent="0.2">
      <c r="A219" t="s">
        <v>327</v>
      </c>
      <c r="B219" s="231">
        <v>24771651.152046088</v>
      </c>
      <c r="C219" s="231">
        <v>3016880</v>
      </c>
      <c r="D219" s="231">
        <v>21353912</v>
      </c>
      <c r="E219" s="231">
        <v>143912.96000000462</v>
      </c>
      <c r="F219" s="232">
        <v>7199020.1769825807</v>
      </c>
      <c r="G219" s="232">
        <v>2386000</v>
      </c>
      <c r="H219" s="232">
        <v>3063000</v>
      </c>
      <c r="I219" s="232">
        <v>1122000</v>
      </c>
      <c r="J219" s="232">
        <v>918000</v>
      </c>
      <c r="K219" s="232">
        <v>168000</v>
      </c>
      <c r="L219" s="232">
        <v>300000</v>
      </c>
      <c r="M219" s="232"/>
      <c r="N219" s="232"/>
      <c r="O219" s="232"/>
    </row>
    <row r="220" spans="1:15" x14ac:dyDescent="0.2">
      <c r="A220" t="s">
        <v>365</v>
      </c>
      <c r="B220" s="231">
        <v>8456437.1545933783</v>
      </c>
      <c r="C220" s="231">
        <v>656239</v>
      </c>
      <c r="D220" s="231">
        <v>4588558</v>
      </c>
      <c r="E220" s="231">
        <v>135401.22000000067</v>
      </c>
      <c r="F220" s="232">
        <v>1237511.8932215692</v>
      </c>
      <c r="G220" s="232">
        <v>989000</v>
      </c>
      <c r="H220" s="232">
        <v>1240000</v>
      </c>
      <c r="I220" s="232">
        <v>250000</v>
      </c>
      <c r="J220" s="232">
        <v>224000</v>
      </c>
      <c r="K220" s="232">
        <v>114000</v>
      </c>
      <c r="L220" s="232"/>
      <c r="M220" s="232"/>
      <c r="N220" s="232"/>
      <c r="O220" s="232"/>
    </row>
    <row r="221" spans="1:15" x14ac:dyDescent="0.2">
      <c r="A221" t="s">
        <v>589</v>
      </c>
      <c r="B221" s="231">
        <v>5218331.4802854974</v>
      </c>
      <c r="C221" s="231">
        <v>538110</v>
      </c>
      <c r="D221" s="231">
        <v>2621340</v>
      </c>
      <c r="E221" s="231">
        <v>58350.099999999627</v>
      </c>
      <c r="F221" s="232">
        <v>1195519.2307278127</v>
      </c>
      <c r="G221" s="232">
        <v>565000</v>
      </c>
      <c r="H221" s="232">
        <v>852000</v>
      </c>
      <c r="I221" s="232">
        <v>201000</v>
      </c>
      <c r="J221" s="232">
        <v>124000</v>
      </c>
      <c r="K221" s="232">
        <v>0</v>
      </c>
      <c r="L221" s="232">
        <v>75000</v>
      </c>
      <c r="M221" s="232">
        <v>26000</v>
      </c>
      <c r="N221" s="232"/>
      <c r="O221" s="232"/>
    </row>
    <row r="222" spans="1:15" x14ac:dyDescent="0.2">
      <c r="A222" t="s">
        <v>412</v>
      </c>
      <c r="B222" s="231">
        <v>4991488.5947400723</v>
      </c>
      <c r="C222" s="231">
        <v>361389</v>
      </c>
      <c r="D222" s="231">
        <v>1358046</v>
      </c>
      <c r="E222" s="231">
        <v>49276.120000000112</v>
      </c>
      <c r="F222" s="232">
        <v>1223732.1397276861</v>
      </c>
      <c r="G222" s="232">
        <v>935000</v>
      </c>
      <c r="H222" s="232">
        <v>758000</v>
      </c>
      <c r="I222" s="232">
        <v>115000</v>
      </c>
      <c r="J222" s="232">
        <v>121000</v>
      </c>
      <c r="K222" s="232">
        <v>64000</v>
      </c>
      <c r="L222" s="232">
        <v>30000</v>
      </c>
      <c r="M222" s="232"/>
      <c r="N222" s="232"/>
      <c r="O222" s="232">
        <v>576000</v>
      </c>
    </row>
    <row r="223" spans="1:15" x14ac:dyDescent="0.2">
      <c r="A223" t="s">
        <v>413</v>
      </c>
      <c r="B223" s="231">
        <v>11328202.464057952</v>
      </c>
      <c r="C223" s="231">
        <v>1009328</v>
      </c>
      <c r="D223" s="231">
        <v>4619989</v>
      </c>
      <c r="E223" s="231">
        <v>50655.89999999851</v>
      </c>
      <c r="F223" s="232">
        <v>2048206.1563114489</v>
      </c>
      <c r="G223" s="232">
        <v>1792000</v>
      </c>
      <c r="H223" s="232">
        <v>1585000</v>
      </c>
      <c r="I223" s="232">
        <v>509000</v>
      </c>
      <c r="J223" s="232">
        <v>347000</v>
      </c>
      <c r="K223" s="232">
        <v>152000</v>
      </c>
      <c r="L223" s="232">
        <v>95000</v>
      </c>
      <c r="M223" s="232">
        <v>70000</v>
      </c>
      <c r="N223" s="232"/>
      <c r="O223" s="232">
        <v>50000</v>
      </c>
    </row>
    <row r="224" spans="1:15" x14ac:dyDescent="0.2">
      <c r="A224" t="s">
        <v>328</v>
      </c>
      <c r="B224" s="231">
        <v>15116264.046168666</v>
      </c>
      <c r="C224" s="231">
        <v>1477797</v>
      </c>
      <c r="D224" s="231">
        <v>9830414</v>
      </c>
      <c r="E224" s="231">
        <v>175727.30000000075</v>
      </c>
      <c r="F224" s="232">
        <v>3347804.1448953925</v>
      </c>
      <c r="G224" s="232">
        <v>0</v>
      </c>
      <c r="H224" s="232">
        <v>2221000</v>
      </c>
      <c r="I224" s="232">
        <v>551000</v>
      </c>
      <c r="J224" s="232">
        <v>372000</v>
      </c>
      <c r="K224" s="232">
        <v>350000</v>
      </c>
      <c r="L224" s="232">
        <v>41000</v>
      </c>
      <c r="M224" s="232">
        <v>35000</v>
      </c>
      <c r="N224" s="232"/>
      <c r="O224" s="232"/>
    </row>
    <row r="225" spans="1:15" x14ac:dyDescent="0.2">
      <c r="A225" t="s">
        <v>590</v>
      </c>
      <c r="B225" s="231">
        <v>11313796.580321796</v>
      </c>
      <c r="C225" s="231">
        <v>1281304</v>
      </c>
      <c r="D225" s="231">
        <v>9023524</v>
      </c>
      <c r="E225" s="231">
        <v>122821.01999999955</v>
      </c>
      <c r="F225" s="232">
        <v>1635678.5224534536</v>
      </c>
      <c r="G225" s="232">
        <v>831000</v>
      </c>
      <c r="H225" s="232">
        <v>1702000</v>
      </c>
      <c r="I225" s="232">
        <v>283000</v>
      </c>
      <c r="J225" s="232">
        <v>210000</v>
      </c>
      <c r="K225" s="232">
        <v>46000</v>
      </c>
      <c r="L225" s="232">
        <v>19000</v>
      </c>
      <c r="M225" s="232"/>
      <c r="N225" s="232"/>
      <c r="O225" s="232"/>
    </row>
    <row r="226" spans="1:15" x14ac:dyDescent="0.2">
      <c r="A226" t="s">
        <v>329</v>
      </c>
      <c r="B226" s="231">
        <v>8021209.3251904277</v>
      </c>
      <c r="C226" s="231">
        <v>663202</v>
      </c>
      <c r="D226" s="231">
        <v>4611345</v>
      </c>
      <c r="E226" s="231">
        <v>77726.500000000931</v>
      </c>
      <c r="F226" s="232">
        <v>1391465.0791135645</v>
      </c>
      <c r="G226" s="232">
        <v>0</v>
      </c>
      <c r="H226" s="232">
        <v>1878000</v>
      </c>
      <c r="I226" s="232">
        <v>325000</v>
      </c>
      <c r="J226" s="232">
        <v>216000</v>
      </c>
      <c r="K226" s="232">
        <v>186000</v>
      </c>
      <c r="L226" s="232"/>
      <c r="M226" s="232"/>
      <c r="N226" s="232"/>
      <c r="O226" s="232"/>
    </row>
    <row r="227" spans="1:15" x14ac:dyDescent="0.2">
      <c r="A227" t="s">
        <v>366</v>
      </c>
      <c r="B227" s="231">
        <v>47286936.857659712</v>
      </c>
      <c r="C227" s="231">
        <v>4093607</v>
      </c>
      <c r="D227" s="231">
        <v>27771735</v>
      </c>
      <c r="E227" s="231">
        <v>228744.98000000417</v>
      </c>
      <c r="F227" s="232">
        <v>15999014.556095259</v>
      </c>
      <c r="G227" s="232">
        <v>4782000</v>
      </c>
      <c r="H227" s="232">
        <v>3514000</v>
      </c>
      <c r="I227" s="232">
        <v>1103000</v>
      </c>
      <c r="J227" s="232">
        <v>1268000</v>
      </c>
      <c r="K227" s="232">
        <v>423000</v>
      </c>
      <c r="L227" s="232"/>
      <c r="M227" s="232"/>
      <c r="N227" s="232"/>
      <c r="O227" s="232">
        <v>1798000</v>
      </c>
    </row>
    <row r="228" spans="1:15" x14ac:dyDescent="0.2">
      <c r="A228" t="s">
        <v>467</v>
      </c>
      <c r="B228" s="231">
        <v>17139607.166723255</v>
      </c>
      <c r="C228" s="231">
        <v>1713867</v>
      </c>
      <c r="D228" s="231">
        <v>9249557</v>
      </c>
      <c r="E228" s="231">
        <v>114196.37999999896</v>
      </c>
      <c r="F228" s="232">
        <v>2575629.5582594001</v>
      </c>
      <c r="G228" s="232">
        <v>2103000</v>
      </c>
      <c r="H228" s="232">
        <v>2606000</v>
      </c>
      <c r="I228" s="232">
        <v>776000</v>
      </c>
      <c r="J228" s="232">
        <v>438000</v>
      </c>
      <c r="K228" s="232">
        <v>127000</v>
      </c>
      <c r="L228" s="232"/>
      <c r="M228" s="232">
        <v>134000</v>
      </c>
      <c r="N228" s="232"/>
      <c r="O228" s="232">
        <v>31000</v>
      </c>
    </row>
    <row r="229" spans="1:15" x14ac:dyDescent="0.2">
      <c r="A229" t="s">
        <v>330</v>
      </c>
      <c r="B229" s="231">
        <v>25413562.089010544</v>
      </c>
      <c r="C229" s="231">
        <v>2460888</v>
      </c>
      <c r="D229" s="231">
        <v>16069221</v>
      </c>
      <c r="E229" s="231">
        <v>216408</v>
      </c>
      <c r="F229" s="232">
        <v>4536802.9909062805</v>
      </c>
      <c r="G229" s="232">
        <v>2669000</v>
      </c>
      <c r="H229" s="232">
        <v>2630000</v>
      </c>
      <c r="I229" s="232">
        <v>647000</v>
      </c>
      <c r="J229" s="232">
        <v>673000</v>
      </c>
      <c r="K229" s="232">
        <v>697000</v>
      </c>
      <c r="L229" s="232">
        <v>140000</v>
      </c>
      <c r="M229" s="232">
        <v>17000</v>
      </c>
      <c r="N229" s="232"/>
      <c r="O229" s="232">
        <v>619000</v>
      </c>
    </row>
    <row r="230" spans="1:15" x14ac:dyDescent="0.2">
      <c r="A230" t="s">
        <v>331</v>
      </c>
      <c r="B230" s="231">
        <v>162245776.44831672</v>
      </c>
      <c r="C230" s="231">
        <v>12498660</v>
      </c>
      <c r="D230" s="231">
        <v>150490006</v>
      </c>
      <c r="E230" s="231">
        <v>15385078.700000018</v>
      </c>
      <c r="F230" s="232">
        <v>91916915.370296389</v>
      </c>
      <c r="G230" s="232">
        <v>7000000</v>
      </c>
      <c r="H230" s="232">
        <v>12943000</v>
      </c>
      <c r="I230" s="232">
        <v>4925000</v>
      </c>
      <c r="J230" s="232">
        <v>2542000</v>
      </c>
      <c r="K230" s="232">
        <v>0</v>
      </c>
      <c r="L230" s="232">
        <v>450000</v>
      </c>
      <c r="M230" s="232"/>
      <c r="N230" s="232"/>
      <c r="O230" s="232">
        <v>16288000</v>
      </c>
    </row>
    <row r="231" spans="1:15" x14ac:dyDescent="0.2">
      <c r="A231" t="s">
        <v>743</v>
      </c>
      <c r="B231" s="231">
        <v>73497050.379578695</v>
      </c>
      <c r="C231" s="231">
        <v>6348854</v>
      </c>
      <c r="D231" s="231">
        <v>58146570</v>
      </c>
      <c r="E231" s="231">
        <v>4074174.2600000054</v>
      </c>
      <c r="F231" s="232">
        <v>32856485.699767523</v>
      </c>
      <c r="G231" s="232">
        <v>11033000</v>
      </c>
      <c r="H231" s="232">
        <v>6319000</v>
      </c>
      <c r="I231" s="232">
        <v>527000</v>
      </c>
      <c r="J231" s="232">
        <v>1574000</v>
      </c>
      <c r="K231" s="232">
        <v>479000</v>
      </c>
      <c r="L231" s="232">
        <v>59000</v>
      </c>
      <c r="M231" s="232">
        <v>26000</v>
      </c>
      <c r="N231" s="232">
        <v>0</v>
      </c>
      <c r="O231" s="232">
        <v>1735000</v>
      </c>
    </row>
    <row r="232" spans="1:15" x14ac:dyDescent="0.2">
      <c r="A232" t="s">
        <v>501</v>
      </c>
      <c r="B232" s="231">
        <v>6584035.5599779263</v>
      </c>
      <c r="C232" s="231">
        <v>629581</v>
      </c>
      <c r="D232" s="231">
        <v>4076846</v>
      </c>
      <c r="E232" s="231">
        <v>161469.74000000022</v>
      </c>
      <c r="F232" s="232">
        <v>1202801.6212713358</v>
      </c>
      <c r="G232" s="232">
        <v>954000</v>
      </c>
      <c r="H232" s="232">
        <v>645000</v>
      </c>
      <c r="I232" s="232">
        <v>160000</v>
      </c>
      <c r="J232" s="232">
        <v>110000</v>
      </c>
      <c r="K232" s="232">
        <v>110000</v>
      </c>
      <c r="L232" s="232">
        <v>1470000</v>
      </c>
      <c r="M232" s="232">
        <v>610000</v>
      </c>
      <c r="N232" s="232"/>
      <c r="O232" s="232"/>
    </row>
    <row r="233" spans="1:15" x14ac:dyDescent="0.2">
      <c r="A233" t="s">
        <v>224</v>
      </c>
      <c r="B233" s="231">
        <v>23033235.581288904</v>
      </c>
      <c r="C233" s="231">
        <v>2810439</v>
      </c>
      <c r="D233" s="231">
        <v>15556555</v>
      </c>
      <c r="E233" s="231">
        <v>207066.57999999821</v>
      </c>
      <c r="F233" s="232">
        <v>6950911.534749832</v>
      </c>
      <c r="G233" s="232">
        <v>2986000</v>
      </c>
      <c r="H233" s="232">
        <v>3810000</v>
      </c>
      <c r="I233" s="232">
        <v>510000</v>
      </c>
      <c r="J233" s="232">
        <v>503000</v>
      </c>
      <c r="K233" s="232">
        <v>180000</v>
      </c>
      <c r="L233" s="232">
        <v>210000</v>
      </c>
      <c r="M233" s="232">
        <v>215000</v>
      </c>
      <c r="N233" s="232"/>
      <c r="O233" s="232"/>
    </row>
    <row r="234" spans="1:15" x14ac:dyDescent="0.2">
      <c r="A234" t="s">
        <v>609</v>
      </c>
      <c r="B234" s="231">
        <v>38689560.81234812</v>
      </c>
      <c r="C234" s="231">
        <v>3038637</v>
      </c>
      <c r="D234" s="231">
        <v>25295807</v>
      </c>
      <c r="E234" s="231">
        <v>585925.24000000209</v>
      </c>
      <c r="F234" s="232">
        <v>11187061.01100532</v>
      </c>
      <c r="G234" s="232">
        <v>4580000</v>
      </c>
      <c r="H234" s="232">
        <v>3378000</v>
      </c>
      <c r="I234" s="232">
        <v>644000</v>
      </c>
      <c r="J234" s="232">
        <v>678000</v>
      </c>
      <c r="K234" s="232">
        <v>653000</v>
      </c>
      <c r="L234" s="232">
        <v>260000</v>
      </c>
      <c r="M234" s="232"/>
      <c r="N234" s="232"/>
      <c r="O234" s="232"/>
    </row>
    <row r="235" spans="1:15" x14ac:dyDescent="0.2">
      <c r="A235" t="s">
        <v>468</v>
      </c>
      <c r="B235" s="231">
        <v>16382545.956778917</v>
      </c>
      <c r="C235" s="231">
        <v>1968514</v>
      </c>
      <c r="D235" s="231">
        <v>9127552</v>
      </c>
      <c r="E235" s="231">
        <v>57210.519999999553</v>
      </c>
      <c r="F235" s="232">
        <v>3232148.0102979806</v>
      </c>
      <c r="G235" s="232">
        <v>3158000</v>
      </c>
      <c r="H235" s="232">
        <v>1985000</v>
      </c>
      <c r="I235" s="232">
        <v>463000</v>
      </c>
      <c r="J235" s="232">
        <v>373000</v>
      </c>
      <c r="K235" s="232">
        <v>263000</v>
      </c>
      <c r="L235" s="232">
        <v>1736000</v>
      </c>
      <c r="M235" s="232">
        <v>700000</v>
      </c>
      <c r="N235" s="232"/>
      <c r="O235" s="232">
        <v>2867000</v>
      </c>
    </row>
    <row r="236" spans="1:15" x14ac:dyDescent="0.2">
      <c r="A236" t="s">
        <v>469</v>
      </c>
      <c r="B236" s="231">
        <v>10556978.422307821</v>
      </c>
      <c r="C236" s="231">
        <v>1168708</v>
      </c>
      <c r="D236" s="231">
        <v>6335293</v>
      </c>
      <c r="E236" s="231">
        <v>60298.220000000671</v>
      </c>
      <c r="F236" s="232">
        <v>1797352.6832479136</v>
      </c>
      <c r="G236" s="232">
        <v>1928000</v>
      </c>
      <c r="H236" s="232">
        <v>2072000</v>
      </c>
      <c r="I236" s="232">
        <v>410000</v>
      </c>
      <c r="J236" s="232">
        <v>256000</v>
      </c>
      <c r="K236" s="232">
        <v>0</v>
      </c>
      <c r="L236" s="232">
        <v>390000</v>
      </c>
      <c r="M236" s="232">
        <v>121000</v>
      </c>
      <c r="N236" s="232"/>
      <c r="O236" s="232"/>
    </row>
    <row r="237" spans="1:15" x14ac:dyDescent="0.2">
      <c r="A237" t="s">
        <v>613</v>
      </c>
      <c r="B237" s="231">
        <v>14381375.314011259</v>
      </c>
      <c r="C237" s="231">
        <v>1442692</v>
      </c>
      <c r="D237" s="231">
        <v>7856583</v>
      </c>
      <c r="E237" s="231">
        <v>72815.250000001863</v>
      </c>
      <c r="F237" s="232">
        <v>4495137.9073776342</v>
      </c>
      <c r="G237" s="232">
        <v>2169000</v>
      </c>
      <c r="H237" s="232">
        <v>2274000</v>
      </c>
      <c r="I237" s="232">
        <v>528000</v>
      </c>
      <c r="J237" s="232">
        <v>396000</v>
      </c>
      <c r="K237" s="232">
        <v>93000</v>
      </c>
      <c r="L237" s="232">
        <v>9000</v>
      </c>
      <c r="M237" s="232"/>
      <c r="N237" s="232"/>
      <c r="O237" s="232"/>
    </row>
    <row r="238" spans="1:15" x14ac:dyDescent="0.2">
      <c r="A238" t="s">
        <v>332</v>
      </c>
      <c r="B238" s="231">
        <v>18267049.564851232</v>
      </c>
      <c r="C238" s="231">
        <v>2023332</v>
      </c>
      <c r="D238" s="231">
        <v>12897322</v>
      </c>
      <c r="E238" s="231">
        <v>144296.96000000089</v>
      </c>
      <c r="F238" s="232">
        <v>3396007.8114541816</v>
      </c>
      <c r="G238" s="232">
        <v>2009000</v>
      </c>
      <c r="H238" s="232">
        <v>1459000</v>
      </c>
      <c r="I238" s="232">
        <v>687000</v>
      </c>
      <c r="J238" s="232">
        <v>375000</v>
      </c>
      <c r="K238" s="232">
        <v>224000</v>
      </c>
      <c r="L238" s="232">
        <v>499000</v>
      </c>
      <c r="M238" s="232">
        <v>531000</v>
      </c>
      <c r="N238" s="232"/>
      <c r="O238" s="232"/>
    </row>
    <row r="239" spans="1:15" x14ac:dyDescent="0.2">
      <c r="A239" t="s">
        <v>591</v>
      </c>
      <c r="B239" s="231">
        <v>10421316.433585228</v>
      </c>
      <c r="C239" s="231">
        <v>1404840</v>
      </c>
      <c r="D239" s="231">
        <v>8642636</v>
      </c>
      <c r="E239" s="231">
        <v>75913.700000001118</v>
      </c>
      <c r="F239" s="232">
        <v>2874214.9528116547</v>
      </c>
      <c r="G239" s="232">
        <v>1341000</v>
      </c>
      <c r="H239" s="232">
        <v>1663000</v>
      </c>
      <c r="I239" s="232">
        <v>215000</v>
      </c>
      <c r="J239" s="232">
        <v>275000</v>
      </c>
      <c r="K239" s="232">
        <v>131000</v>
      </c>
      <c r="L239" s="232">
        <v>52000</v>
      </c>
      <c r="M239" s="232"/>
      <c r="N239" s="232"/>
      <c r="O239" s="232"/>
    </row>
    <row r="240" spans="1:15" x14ac:dyDescent="0.2">
      <c r="A240" t="s">
        <v>470</v>
      </c>
      <c r="B240" s="231">
        <v>15029379.203545494</v>
      </c>
      <c r="C240" s="231">
        <v>1245235</v>
      </c>
      <c r="D240" s="231">
        <v>7875614</v>
      </c>
      <c r="E240" s="231">
        <v>49964.900000000373</v>
      </c>
      <c r="F240" s="232">
        <v>2876582.55928721</v>
      </c>
      <c r="G240" s="232">
        <v>2633000</v>
      </c>
      <c r="H240" s="232">
        <v>2259000</v>
      </c>
      <c r="I240" s="232">
        <v>753000</v>
      </c>
      <c r="J240" s="232">
        <v>403000</v>
      </c>
      <c r="K240" s="232">
        <v>0</v>
      </c>
      <c r="L240" s="232">
        <v>241000</v>
      </c>
      <c r="M240" s="232"/>
      <c r="N240" s="232"/>
      <c r="O240" s="232"/>
    </row>
    <row r="241" spans="1:15" x14ac:dyDescent="0.2">
      <c r="A241" t="s">
        <v>548</v>
      </c>
      <c r="B241" s="231">
        <v>12415508.992604461</v>
      </c>
      <c r="C241" s="231">
        <v>1168729</v>
      </c>
      <c r="D241" s="231">
        <v>7090349</v>
      </c>
      <c r="E241" s="231">
        <v>163391.55999999866</v>
      </c>
      <c r="F241" s="232">
        <v>1395324.245869868</v>
      </c>
      <c r="G241" s="232">
        <v>1107000</v>
      </c>
      <c r="H241" s="232">
        <v>1239000</v>
      </c>
      <c r="I241" s="232">
        <v>612000</v>
      </c>
      <c r="J241" s="232">
        <v>295000</v>
      </c>
      <c r="K241" s="232">
        <v>0</v>
      </c>
      <c r="L241" s="232">
        <v>207000</v>
      </c>
      <c r="M241" s="232">
        <v>26000</v>
      </c>
      <c r="N241" s="232">
        <v>39000</v>
      </c>
      <c r="O241" s="232"/>
    </row>
    <row r="242" spans="1:15" x14ac:dyDescent="0.2">
      <c r="A242" t="s">
        <v>549</v>
      </c>
      <c r="B242" s="231">
        <v>17184242.889115795</v>
      </c>
      <c r="C242" s="231">
        <v>2019161</v>
      </c>
      <c r="D242" s="231">
        <v>13333046</v>
      </c>
      <c r="E242" s="231">
        <v>52383.320000000298</v>
      </c>
      <c r="F242" s="232">
        <v>3436081.1891364735</v>
      </c>
      <c r="G242" s="232">
        <v>2056000</v>
      </c>
      <c r="H242" s="232">
        <v>2599000</v>
      </c>
      <c r="I242" s="232">
        <v>807000</v>
      </c>
      <c r="J242" s="232">
        <v>541000</v>
      </c>
      <c r="K242" s="232">
        <v>0</v>
      </c>
      <c r="L242" s="232">
        <v>514000</v>
      </c>
      <c r="M242" s="232">
        <v>27000</v>
      </c>
      <c r="N242" s="232"/>
      <c r="O242" s="232">
        <v>1007000</v>
      </c>
    </row>
    <row r="243" spans="1:15" x14ac:dyDescent="0.2">
      <c r="A243" t="s">
        <v>243</v>
      </c>
      <c r="B243" s="231">
        <v>37840059.001841791</v>
      </c>
      <c r="C243" s="231">
        <v>4710057</v>
      </c>
      <c r="D243" s="231">
        <v>39168007</v>
      </c>
      <c r="E243" s="231">
        <v>425835.02000000328</v>
      </c>
      <c r="F243" s="232">
        <v>18552192.169579029</v>
      </c>
      <c r="G243" s="232">
        <v>3971000</v>
      </c>
      <c r="H243" s="232">
        <v>4678000</v>
      </c>
      <c r="I243" s="232">
        <v>678000</v>
      </c>
      <c r="J243" s="232">
        <v>817000</v>
      </c>
      <c r="K243" s="232">
        <v>175000</v>
      </c>
      <c r="L243" s="232">
        <v>86000</v>
      </c>
      <c r="M243" s="232"/>
      <c r="N243" s="232">
        <v>87000</v>
      </c>
      <c r="O243" s="232">
        <v>1080000</v>
      </c>
    </row>
    <row r="244" spans="1:15" x14ac:dyDescent="0.2">
      <c r="A244" t="s">
        <v>333</v>
      </c>
      <c r="B244" s="231">
        <v>14694685.622211261</v>
      </c>
      <c r="C244" s="231">
        <v>1574171</v>
      </c>
      <c r="D244" s="231">
        <v>11935349</v>
      </c>
      <c r="E244" s="231">
        <v>91483.599999999627</v>
      </c>
      <c r="F244" s="232">
        <v>2492201.5139997564</v>
      </c>
      <c r="G244" s="232">
        <v>2019000</v>
      </c>
      <c r="H244" s="232">
        <v>1697000</v>
      </c>
      <c r="I244" s="232">
        <v>507000</v>
      </c>
      <c r="J244" s="232">
        <v>322000</v>
      </c>
      <c r="K244" s="232">
        <v>483000</v>
      </c>
      <c r="L244" s="232">
        <v>447000</v>
      </c>
      <c r="M244" s="232">
        <v>32000</v>
      </c>
      <c r="N244" s="232"/>
      <c r="O244" s="232"/>
    </row>
    <row r="245" spans="1:15" x14ac:dyDescent="0.2">
      <c r="A245" t="s">
        <v>286</v>
      </c>
      <c r="B245" s="231">
        <v>25896327.28707942</v>
      </c>
      <c r="C245" s="231">
        <v>2764954</v>
      </c>
      <c r="D245" s="231">
        <v>22091914</v>
      </c>
      <c r="E245" s="231">
        <v>174043.48000000045</v>
      </c>
      <c r="F245" s="232">
        <v>7897042.4394478407</v>
      </c>
      <c r="G245" s="232">
        <v>3806000</v>
      </c>
      <c r="H245" s="232">
        <v>2497000</v>
      </c>
      <c r="I245" s="232">
        <v>719000</v>
      </c>
      <c r="J245" s="232">
        <v>461000</v>
      </c>
      <c r="K245" s="232">
        <v>273000</v>
      </c>
      <c r="L245" s="232">
        <v>87000</v>
      </c>
      <c r="M245" s="232"/>
      <c r="N245" s="232">
        <v>130000</v>
      </c>
      <c r="O245" s="232">
        <v>1044000</v>
      </c>
    </row>
    <row r="246" spans="1:15" x14ac:dyDescent="0.2">
      <c r="A246" t="s">
        <v>287</v>
      </c>
      <c r="B246" s="231">
        <v>12230135.027014978</v>
      </c>
      <c r="C246" s="231">
        <v>1359542</v>
      </c>
      <c r="D246" s="231">
        <v>8987956</v>
      </c>
      <c r="E246" s="231">
        <v>79071.219999998808</v>
      </c>
      <c r="F246" s="232">
        <v>2177433.504970192</v>
      </c>
      <c r="G246" s="232">
        <v>1196000</v>
      </c>
      <c r="H246" s="232">
        <v>1790000</v>
      </c>
      <c r="I246" s="232">
        <v>325000</v>
      </c>
      <c r="J246" s="232">
        <v>229000</v>
      </c>
      <c r="K246" s="232">
        <v>97000</v>
      </c>
      <c r="L246" s="232">
        <v>60000</v>
      </c>
      <c r="M246" s="232"/>
      <c r="N246" s="232">
        <v>21000</v>
      </c>
      <c r="O246" s="232"/>
    </row>
    <row r="247" spans="1:15" x14ac:dyDescent="0.2">
      <c r="A247" t="s">
        <v>288</v>
      </c>
      <c r="B247" s="231">
        <v>13962337.036392456</v>
      </c>
      <c r="C247" s="231">
        <v>1264498</v>
      </c>
      <c r="D247" s="231">
        <v>10682538</v>
      </c>
      <c r="E247" s="231">
        <v>87573.960000002757</v>
      </c>
      <c r="F247" s="232">
        <v>2615395.193103693</v>
      </c>
      <c r="G247" s="232">
        <v>1771000</v>
      </c>
      <c r="H247" s="232">
        <v>1511000</v>
      </c>
      <c r="I247" s="232">
        <v>429000</v>
      </c>
      <c r="J247" s="232">
        <v>259000</v>
      </c>
      <c r="K247" s="232">
        <v>292000</v>
      </c>
      <c r="L247" s="232">
        <v>802000</v>
      </c>
      <c r="M247" s="232">
        <v>643000</v>
      </c>
      <c r="N247" s="232"/>
      <c r="O247" s="232"/>
    </row>
    <row r="248" spans="1:15" x14ac:dyDescent="0.2">
      <c r="A248" t="s">
        <v>592</v>
      </c>
      <c r="B248" s="231">
        <v>6114933.1593438834</v>
      </c>
      <c r="C248" s="231">
        <v>738439</v>
      </c>
      <c r="D248" s="231">
        <v>6428969</v>
      </c>
      <c r="E248" s="231">
        <v>21162</v>
      </c>
      <c r="F248" s="232">
        <v>2215574.5403886582</v>
      </c>
      <c r="G248" s="232">
        <v>741000</v>
      </c>
      <c r="H248" s="232">
        <v>1055000</v>
      </c>
      <c r="I248" s="232">
        <v>36000</v>
      </c>
      <c r="J248" s="232">
        <v>128000</v>
      </c>
      <c r="K248" s="232">
        <v>23000</v>
      </c>
      <c r="L248" s="232">
        <v>11000</v>
      </c>
      <c r="M248" s="232"/>
      <c r="N248" s="232"/>
      <c r="O248" s="232"/>
    </row>
    <row r="249" spans="1:15" x14ac:dyDescent="0.2">
      <c r="A249" t="s">
        <v>334</v>
      </c>
      <c r="B249" s="231">
        <v>21411254.717946932</v>
      </c>
      <c r="C249" s="231">
        <v>2248894</v>
      </c>
      <c r="D249" s="231">
        <v>20435969</v>
      </c>
      <c r="E249" s="231">
        <v>184624.29999999702</v>
      </c>
      <c r="F249" s="232">
        <v>4040605.9909965461</v>
      </c>
      <c r="G249" s="232">
        <v>1994000</v>
      </c>
      <c r="H249" s="232">
        <v>2507000</v>
      </c>
      <c r="I249" s="232">
        <v>300000</v>
      </c>
      <c r="J249" s="232">
        <v>474000</v>
      </c>
      <c r="K249" s="232">
        <v>0</v>
      </c>
      <c r="L249" s="232">
        <v>476000</v>
      </c>
      <c r="M249" s="232"/>
      <c r="N249" s="232"/>
      <c r="O249" s="232"/>
    </row>
    <row r="250" spans="1:15" x14ac:dyDescent="0.2">
      <c r="A250" t="s">
        <v>550</v>
      </c>
      <c r="B250" s="231">
        <v>40090092.965990908</v>
      </c>
      <c r="C250" s="231">
        <v>4263385</v>
      </c>
      <c r="D250" s="231">
        <v>28341697</v>
      </c>
      <c r="E250" s="231">
        <v>373969.74999999255</v>
      </c>
      <c r="F250" s="232">
        <v>13459860.09207261</v>
      </c>
      <c r="G250" s="232">
        <v>5096000</v>
      </c>
      <c r="H250" s="232">
        <v>6670000</v>
      </c>
      <c r="I250" s="232">
        <v>936000</v>
      </c>
      <c r="J250" s="232">
        <v>907000</v>
      </c>
      <c r="K250" s="232">
        <v>0</v>
      </c>
      <c r="L250" s="232">
        <v>178000</v>
      </c>
      <c r="M250" s="232"/>
      <c r="N250" s="232">
        <v>116000</v>
      </c>
      <c r="O250" s="232">
        <v>2083000</v>
      </c>
    </row>
    <row r="251" spans="1:15" x14ac:dyDescent="0.2">
      <c r="A251" t="s">
        <v>266</v>
      </c>
      <c r="B251" s="231">
        <v>21827359.595391717</v>
      </c>
      <c r="C251" s="231">
        <v>2439065</v>
      </c>
      <c r="D251" s="231">
        <v>16047864</v>
      </c>
      <c r="E251" s="231">
        <v>393501.59999999776</v>
      </c>
      <c r="F251" s="232">
        <v>7519027.3028479498</v>
      </c>
      <c r="G251" s="232">
        <v>2233000</v>
      </c>
      <c r="H251" s="232">
        <v>2878000</v>
      </c>
      <c r="I251" s="232">
        <v>410000</v>
      </c>
      <c r="J251" s="232">
        <v>350000</v>
      </c>
      <c r="K251" s="232">
        <v>0</v>
      </c>
      <c r="L251" s="232">
        <v>238000</v>
      </c>
      <c r="M251" s="232">
        <v>63000</v>
      </c>
      <c r="N251" s="232">
        <v>45000</v>
      </c>
      <c r="O251" s="232"/>
    </row>
    <row r="252" spans="1:15" x14ac:dyDescent="0.2">
      <c r="A252" t="s">
        <v>414</v>
      </c>
      <c r="B252" s="231">
        <v>6171568.2353399191</v>
      </c>
      <c r="C252" s="231">
        <v>583986</v>
      </c>
      <c r="D252" s="231">
        <v>2167598</v>
      </c>
      <c r="E252" s="231">
        <v>59707.700000001118</v>
      </c>
      <c r="F252" s="232">
        <v>911935.4886874177</v>
      </c>
      <c r="G252" s="232">
        <v>1061000</v>
      </c>
      <c r="H252" s="232">
        <v>1146000</v>
      </c>
      <c r="I252" s="232">
        <v>283000</v>
      </c>
      <c r="J252" s="232">
        <v>169000</v>
      </c>
      <c r="K252" s="232">
        <v>180000</v>
      </c>
      <c r="L252" s="232"/>
      <c r="M252" s="232"/>
      <c r="N252" s="232"/>
      <c r="O252" s="232"/>
    </row>
    <row r="253" spans="1:15" x14ac:dyDescent="0.2">
      <c r="A253" t="s">
        <v>415</v>
      </c>
      <c r="B253" s="231">
        <v>7596810.5729664518</v>
      </c>
      <c r="C253" s="231">
        <v>746600</v>
      </c>
      <c r="D253" s="231">
        <v>3934739</v>
      </c>
      <c r="E253" s="231">
        <v>67306.44000000041</v>
      </c>
      <c r="F253" s="232">
        <v>1096648.0632525424</v>
      </c>
      <c r="G253" s="232">
        <v>1304000</v>
      </c>
      <c r="H253" s="232">
        <v>1097000</v>
      </c>
      <c r="I253" s="232">
        <v>132000</v>
      </c>
      <c r="J253" s="232">
        <v>173000</v>
      </c>
      <c r="K253" s="232">
        <v>14000</v>
      </c>
      <c r="L253" s="232">
        <v>11000</v>
      </c>
      <c r="M253" s="232">
        <v>47000</v>
      </c>
      <c r="N253" s="232"/>
      <c r="O253" s="232"/>
    </row>
    <row r="254" spans="1:15" x14ac:dyDescent="0.2">
      <c r="A254" t="s">
        <v>267</v>
      </c>
      <c r="B254" s="231">
        <v>23243143.343493249</v>
      </c>
      <c r="C254" s="231">
        <v>2396569</v>
      </c>
      <c r="D254" s="231">
        <v>16394003</v>
      </c>
      <c r="E254" s="231">
        <v>424403.11000000313</v>
      </c>
      <c r="F254" s="232">
        <v>7407247.6207102574</v>
      </c>
      <c r="G254" s="232">
        <v>2742000</v>
      </c>
      <c r="H254" s="232">
        <v>2871000</v>
      </c>
      <c r="I254" s="232">
        <v>521000</v>
      </c>
      <c r="J254" s="232">
        <v>394000</v>
      </c>
      <c r="K254" s="232">
        <v>155000</v>
      </c>
      <c r="L254" s="232">
        <v>148000</v>
      </c>
      <c r="M254" s="232"/>
      <c r="N254" s="232"/>
      <c r="O254" s="232"/>
    </row>
    <row r="255" spans="1:15" x14ac:dyDescent="0.2">
      <c r="A255" t="s">
        <v>551</v>
      </c>
      <c r="B255" s="231">
        <v>69052012.033725232</v>
      </c>
      <c r="C255" s="231">
        <v>7075680</v>
      </c>
      <c r="D255" s="231">
        <v>73583069</v>
      </c>
      <c r="E255" s="231">
        <v>7833250.380000025</v>
      </c>
      <c r="F255" s="232">
        <v>19609675.910113525</v>
      </c>
      <c r="G255" s="232">
        <v>9233053.8816022687</v>
      </c>
      <c r="H255" s="232">
        <v>7297862.4601205243</v>
      </c>
      <c r="I255" s="232">
        <v>2761912.4423963134</v>
      </c>
      <c r="J255" s="232">
        <v>1555409.429280397</v>
      </c>
      <c r="K255" s="232">
        <v>239000</v>
      </c>
      <c r="L255" s="232">
        <v>473080.1134349521</v>
      </c>
      <c r="M255" s="232">
        <v>3991.4923785891528</v>
      </c>
      <c r="N255" s="232">
        <v>210000</v>
      </c>
      <c r="O255" s="232">
        <v>2520000</v>
      </c>
    </row>
    <row r="256" spans="1:15" x14ac:dyDescent="0.2">
      <c r="A256" t="s">
        <v>471</v>
      </c>
      <c r="B256" s="231">
        <v>16366346.451999705</v>
      </c>
      <c r="C256" s="231">
        <v>1606119</v>
      </c>
      <c r="D256" s="231">
        <v>8977337</v>
      </c>
      <c r="E256" s="231">
        <v>79533.960000000894</v>
      </c>
      <c r="F256" s="232">
        <v>3197327.326677375</v>
      </c>
      <c r="G256" s="232">
        <v>0</v>
      </c>
      <c r="H256" s="232">
        <v>2074000</v>
      </c>
      <c r="I256" s="232">
        <v>1353000</v>
      </c>
      <c r="J256" s="232">
        <v>413000</v>
      </c>
      <c r="K256" s="232">
        <v>281000</v>
      </c>
      <c r="L256" s="232"/>
      <c r="M256" s="232"/>
      <c r="N256" s="232">
        <v>100000</v>
      </c>
      <c r="O256" s="232">
        <v>822000</v>
      </c>
    </row>
    <row r="257" spans="1:15" x14ac:dyDescent="0.2">
      <c r="A257" t="s">
        <v>335</v>
      </c>
      <c r="B257" s="231">
        <v>29529943.940710645</v>
      </c>
      <c r="C257" s="231">
        <v>3756731</v>
      </c>
      <c r="D257" s="231">
        <v>21324348</v>
      </c>
      <c r="E257" s="231">
        <v>290643.42000000551</v>
      </c>
      <c r="F257" s="232">
        <v>6943336.941290237</v>
      </c>
      <c r="G257" s="232">
        <v>2892000</v>
      </c>
      <c r="H257" s="232">
        <v>7155000</v>
      </c>
      <c r="I257" s="232">
        <v>180000</v>
      </c>
      <c r="J257" s="232">
        <v>582000</v>
      </c>
      <c r="K257" s="232">
        <v>110000</v>
      </c>
      <c r="L257" s="232">
        <v>143000</v>
      </c>
      <c r="M257" s="232"/>
      <c r="N257" s="232"/>
      <c r="O257" s="232"/>
    </row>
    <row r="258" spans="1:15" x14ac:dyDescent="0.2">
      <c r="A258" t="s">
        <v>416</v>
      </c>
      <c r="B258" s="231">
        <v>8251947.3238988593</v>
      </c>
      <c r="C258" s="231">
        <v>785553</v>
      </c>
      <c r="D258" s="231">
        <v>3306375</v>
      </c>
      <c r="E258" s="231">
        <v>98629.440000001341</v>
      </c>
      <c r="F258" s="232">
        <v>1714660.5431739527</v>
      </c>
      <c r="G258" s="232">
        <v>1081000</v>
      </c>
      <c r="H258" s="232">
        <v>1507000</v>
      </c>
      <c r="I258" s="232">
        <v>645000</v>
      </c>
      <c r="J258" s="232">
        <v>274000</v>
      </c>
      <c r="K258" s="232">
        <v>218000</v>
      </c>
      <c r="L258" s="232">
        <v>155000</v>
      </c>
      <c r="M258" s="232">
        <v>40000</v>
      </c>
      <c r="N258" s="232"/>
      <c r="O258" s="232">
        <v>310000</v>
      </c>
    </row>
    <row r="259" spans="1:15" x14ac:dyDescent="0.2">
      <c r="A259" t="s">
        <v>367</v>
      </c>
      <c r="B259" s="231">
        <v>7232900.700041024</v>
      </c>
      <c r="C259" s="231">
        <v>603410</v>
      </c>
      <c r="D259" s="231">
        <v>3358145</v>
      </c>
      <c r="E259" s="231">
        <v>94163.679999999702</v>
      </c>
      <c r="F259" s="232">
        <v>1087946.8907787758</v>
      </c>
      <c r="G259" s="232">
        <v>738000</v>
      </c>
      <c r="H259" s="232">
        <v>1504000</v>
      </c>
      <c r="I259" s="232">
        <v>367000</v>
      </c>
      <c r="J259" s="232">
        <v>153000</v>
      </c>
      <c r="K259" s="232">
        <v>3000</v>
      </c>
      <c r="L259" s="232">
        <v>8000</v>
      </c>
      <c r="M259" s="232"/>
      <c r="N259" s="232"/>
      <c r="O259" s="232"/>
    </row>
    <row r="260" spans="1:15" x14ac:dyDescent="0.2">
      <c r="A260" t="s">
        <v>336</v>
      </c>
      <c r="B260" s="231">
        <v>29904800.403197818</v>
      </c>
      <c r="C260" s="231">
        <v>2791156</v>
      </c>
      <c r="D260" s="231">
        <v>19682052</v>
      </c>
      <c r="E260" s="231">
        <v>217120.21999999881</v>
      </c>
      <c r="F260" s="232">
        <v>7580335.4064083192</v>
      </c>
      <c r="G260" s="232">
        <v>3922000</v>
      </c>
      <c r="H260" s="232">
        <v>3761000</v>
      </c>
      <c r="I260" s="232">
        <v>624000</v>
      </c>
      <c r="J260" s="232">
        <v>705000</v>
      </c>
      <c r="K260" s="232">
        <v>68000</v>
      </c>
      <c r="L260" s="232"/>
      <c r="M260" s="232"/>
      <c r="N260" s="232"/>
      <c r="O260" s="232"/>
    </row>
    <row r="261" spans="1:15" x14ac:dyDescent="0.2">
      <c r="A261" t="s">
        <v>473</v>
      </c>
      <c r="B261" s="231">
        <v>24913560.850949865</v>
      </c>
      <c r="C261" s="231">
        <v>2302771</v>
      </c>
      <c r="D261" s="231">
        <v>12349115</v>
      </c>
      <c r="E261" s="231">
        <v>210520.09999999776</v>
      </c>
      <c r="F261" s="232">
        <v>6101554.5299098389</v>
      </c>
      <c r="G261" s="232">
        <v>3031000</v>
      </c>
      <c r="H261" s="232">
        <v>3820000</v>
      </c>
      <c r="I261" s="232">
        <v>635000</v>
      </c>
      <c r="J261" s="232">
        <v>442000</v>
      </c>
      <c r="K261" s="232">
        <v>460000</v>
      </c>
      <c r="L261" s="232"/>
      <c r="M261" s="232"/>
      <c r="N261" s="232"/>
      <c r="O261" s="232">
        <v>636000</v>
      </c>
    </row>
    <row r="262" spans="1:15" x14ac:dyDescent="0.2">
      <c r="A262" t="s">
        <v>593</v>
      </c>
      <c r="B262" s="231">
        <v>28112183.832282182</v>
      </c>
      <c r="C262" s="231">
        <v>3009721</v>
      </c>
      <c r="D262" s="231">
        <v>20191121</v>
      </c>
      <c r="E262" s="231">
        <v>272966.62000000104</v>
      </c>
      <c r="F262" s="232">
        <v>5295068.9909509523</v>
      </c>
      <c r="G262" s="232">
        <v>3274000</v>
      </c>
      <c r="H262" s="232">
        <v>4807000</v>
      </c>
      <c r="I262" s="232">
        <v>1075000</v>
      </c>
      <c r="J262" s="232">
        <v>716000</v>
      </c>
      <c r="K262" s="232">
        <v>59000</v>
      </c>
      <c r="L262" s="232">
        <v>983000</v>
      </c>
      <c r="M262" s="232">
        <v>29000</v>
      </c>
      <c r="N262" s="232"/>
      <c r="O262" s="232"/>
    </row>
    <row r="263" spans="1:15" x14ac:dyDescent="0.2">
      <c r="A263" t="s">
        <v>244</v>
      </c>
      <c r="B263" s="231">
        <v>11983953.071570462</v>
      </c>
      <c r="C263" s="231">
        <v>1488245</v>
      </c>
      <c r="D263" s="231">
        <v>15216234</v>
      </c>
      <c r="E263" s="231">
        <v>142000.92000000179</v>
      </c>
      <c r="F263" s="232">
        <v>6190334.7652634559</v>
      </c>
      <c r="G263" s="232">
        <v>1460000</v>
      </c>
      <c r="H263" s="232">
        <v>1320000</v>
      </c>
      <c r="I263" s="232">
        <v>132000</v>
      </c>
      <c r="J263" s="232">
        <v>183000</v>
      </c>
      <c r="K263" s="232">
        <v>49000</v>
      </c>
      <c r="L263" s="232"/>
      <c r="M263" s="232"/>
      <c r="N263" s="232"/>
      <c r="O263" s="232"/>
    </row>
    <row r="264" spans="1:15" x14ac:dyDescent="0.2">
      <c r="A264" t="s">
        <v>474</v>
      </c>
      <c r="B264" s="231">
        <v>32372913.988130502</v>
      </c>
      <c r="C264" s="231">
        <v>2160840</v>
      </c>
      <c r="D264" s="231">
        <v>15315922</v>
      </c>
      <c r="E264" s="231">
        <v>132123.75999999791</v>
      </c>
      <c r="F264" s="232">
        <v>6318623.9497291455</v>
      </c>
      <c r="G264" s="232">
        <v>5179000</v>
      </c>
      <c r="H264" s="232">
        <v>4421000</v>
      </c>
      <c r="I264" s="232">
        <v>798000</v>
      </c>
      <c r="J264" s="232">
        <v>764000</v>
      </c>
      <c r="K264" s="232">
        <v>0</v>
      </c>
      <c r="L264" s="232">
        <v>135000</v>
      </c>
      <c r="M264" s="232"/>
      <c r="N264" s="232"/>
      <c r="O264" s="232"/>
    </row>
    <row r="265" spans="1:15" x14ac:dyDescent="0.2">
      <c r="A265" t="s">
        <v>417</v>
      </c>
      <c r="B265" s="231">
        <v>65965116.185249805</v>
      </c>
      <c r="C265" s="231">
        <v>6596037</v>
      </c>
      <c r="D265" s="231">
        <v>42491202</v>
      </c>
      <c r="E265" s="231">
        <v>1556777.7800000012</v>
      </c>
      <c r="F265" s="232">
        <v>23286974.645013962</v>
      </c>
      <c r="G265" s="232">
        <v>11254000</v>
      </c>
      <c r="H265" s="232">
        <v>6553000</v>
      </c>
      <c r="I265" s="232">
        <v>1550000</v>
      </c>
      <c r="J265" s="232">
        <v>1302000</v>
      </c>
      <c r="K265" s="232">
        <v>592000</v>
      </c>
      <c r="L265" s="232"/>
      <c r="M265" s="232"/>
      <c r="N265" s="232"/>
      <c r="O265" s="232">
        <v>2501000</v>
      </c>
    </row>
    <row r="266" spans="1:15" x14ac:dyDescent="0.2">
      <c r="A266" t="s">
        <v>337</v>
      </c>
      <c r="B266" s="231">
        <v>15168984.89020334</v>
      </c>
      <c r="C266" s="231">
        <v>1676716</v>
      </c>
      <c r="D266" s="231">
        <v>9937447</v>
      </c>
      <c r="E266" s="231">
        <v>169978.97999999858</v>
      </c>
      <c r="F266" s="232">
        <v>2528133.2658336614</v>
      </c>
      <c r="G266" s="232">
        <v>1274000</v>
      </c>
      <c r="H266" s="232">
        <v>2406000</v>
      </c>
      <c r="I266" s="232">
        <v>346000</v>
      </c>
      <c r="J266" s="232">
        <v>386000</v>
      </c>
      <c r="K266" s="232">
        <v>516000</v>
      </c>
      <c r="L266" s="232">
        <v>368000</v>
      </c>
      <c r="M266" s="232">
        <v>300000</v>
      </c>
      <c r="N266" s="232"/>
      <c r="O266" s="232"/>
    </row>
    <row r="267" spans="1:15" x14ac:dyDescent="0.2">
      <c r="A267" t="s">
        <v>289</v>
      </c>
      <c r="B267" s="231">
        <v>25029585.183922686</v>
      </c>
      <c r="C267" s="231">
        <v>2700023</v>
      </c>
      <c r="D267" s="231">
        <v>17446328</v>
      </c>
      <c r="E267" s="231">
        <v>237652.1799999997</v>
      </c>
      <c r="F267" s="232">
        <v>4961946.3369791294</v>
      </c>
      <c r="G267" s="232">
        <v>2457000</v>
      </c>
      <c r="H267" s="232">
        <v>2894000</v>
      </c>
      <c r="I267" s="232">
        <v>1011000</v>
      </c>
      <c r="J267" s="232">
        <v>477000</v>
      </c>
      <c r="K267" s="232">
        <v>200000</v>
      </c>
      <c r="L267" s="232">
        <v>124000</v>
      </c>
      <c r="M267" s="232">
        <v>66000</v>
      </c>
      <c r="N267" s="232"/>
      <c r="O267" s="232">
        <v>415000</v>
      </c>
    </row>
    <row r="268" spans="1:15" x14ac:dyDescent="0.2">
      <c r="A268" t="s">
        <v>502</v>
      </c>
      <c r="B268" s="231">
        <v>15933508.850419378</v>
      </c>
      <c r="C268" s="231">
        <v>1605362</v>
      </c>
      <c r="D268" s="231">
        <v>8311210</v>
      </c>
      <c r="E268" s="231">
        <v>240118.04000000097</v>
      </c>
      <c r="F268" s="232">
        <v>2771672.9044718826</v>
      </c>
      <c r="G268" s="232">
        <v>2404000</v>
      </c>
      <c r="H268" s="232">
        <v>2064000</v>
      </c>
      <c r="I268" s="232">
        <v>519000</v>
      </c>
      <c r="J268" s="232">
        <v>249000</v>
      </c>
      <c r="K268" s="232">
        <v>445000</v>
      </c>
      <c r="L268" s="232">
        <v>39000</v>
      </c>
      <c r="M268" s="232">
        <v>6000</v>
      </c>
      <c r="N268" s="232"/>
      <c r="O268" s="232"/>
    </row>
    <row r="269" spans="1:15" x14ac:dyDescent="0.2">
      <c r="A269" t="s">
        <v>338</v>
      </c>
      <c r="B269" s="231">
        <v>22294600.543258954</v>
      </c>
      <c r="C269" s="231">
        <v>2902812</v>
      </c>
      <c r="D269" s="231">
        <v>19058416</v>
      </c>
      <c r="E269" s="231">
        <v>117301.48000000045</v>
      </c>
      <c r="F269" s="232">
        <v>6928986.507954888</v>
      </c>
      <c r="G269" s="232">
        <v>3422000</v>
      </c>
      <c r="H269" s="232">
        <v>3287000</v>
      </c>
      <c r="I269" s="232">
        <v>225000</v>
      </c>
      <c r="J269" s="232">
        <v>513000</v>
      </c>
      <c r="K269" s="232">
        <v>277000</v>
      </c>
      <c r="L269" s="232">
        <v>311000</v>
      </c>
      <c r="M269" s="232"/>
      <c r="N269" s="232"/>
      <c r="O269" s="232"/>
    </row>
    <row r="270" spans="1:15" x14ac:dyDescent="0.2">
      <c r="A270" t="s">
        <v>368</v>
      </c>
      <c r="B270" s="231">
        <v>3015997.6624009842</v>
      </c>
      <c r="C270" s="231">
        <v>219123</v>
      </c>
      <c r="D270" s="231">
        <v>1719820</v>
      </c>
      <c r="E270" s="231">
        <v>12690.5</v>
      </c>
      <c r="F270" s="232">
        <v>422909</v>
      </c>
      <c r="G270" s="232">
        <v>368000</v>
      </c>
      <c r="H270" s="232">
        <v>505000</v>
      </c>
      <c r="I270" s="232">
        <v>80000</v>
      </c>
      <c r="J270" s="232">
        <v>72000</v>
      </c>
      <c r="K270" s="232">
        <v>20000</v>
      </c>
      <c r="L270" s="232">
        <v>32000</v>
      </c>
      <c r="M270" s="232"/>
      <c r="N270" s="232"/>
      <c r="O270" s="232"/>
    </row>
    <row r="271" spans="1:15" x14ac:dyDescent="0.2">
      <c r="A271" t="s">
        <v>552</v>
      </c>
      <c r="B271" s="231">
        <v>8144184.496374568</v>
      </c>
      <c r="C271" s="231">
        <v>788621</v>
      </c>
      <c r="D271" s="231">
        <v>6771662</v>
      </c>
      <c r="E271" s="231">
        <v>97455.950000001118</v>
      </c>
      <c r="F271" s="232">
        <v>1072476.2051821083</v>
      </c>
      <c r="G271" s="232">
        <v>778000</v>
      </c>
      <c r="H271" s="232">
        <v>1310000</v>
      </c>
      <c r="I271" s="232">
        <v>204000</v>
      </c>
      <c r="J271" s="232">
        <v>221000</v>
      </c>
      <c r="K271" s="232">
        <v>0</v>
      </c>
      <c r="L271" s="232">
        <v>100000</v>
      </c>
      <c r="M271" s="232">
        <v>29000</v>
      </c>
      <c r="N271" s="232"/>
      <c r="O271" s="232"/>
    </row>
    <row r="272" spans="1:15" x14ac:dyDescent="0.2">
      <c r="A272" t="s">
        <v>339</v>
      </c>
      <c r="B272" s="231">
        <v>34154080.469631702</v>
      </c>
      <c r="C272" s="231">
        <v>4713303</v>
      </c>
      <c r="D272" s="231">
        <v>26068975</v>
      </c>
      <c r="E272" s="231">
        <v>231403.34000000358</v>
      </c>
      <c r="F272" s="232">
        <v>11680249.85621044</v>
      </c>
      <c r="G272" s="232">
        <v>3228000</v>
      </c>
      <c r="H272" s="232">
        <v>4547000</v>
      </c>
      <c r="I272" s="232">
        <v>741000</v>
      </c>
      <c r="J272" s="232">
        <v>739000</v>
      </c>
      <c r="K272" s="232">
        <v>504000</v>
      </c>
      <c r="L272" s="232">
        <v>134000</v>
      </c>
      <c r="M272" s="232">
        <v>52000</v>
      </c>
      <c r="N272" s="232"/>
      <c r="O272" s="232">
        <v>257000</v>
      </c>
    </row>
    <row r="273" spans="1:15" x14ac:dyDescent="0.2">
      <c r="A273" t="s">
        <v>369</v>
      </c>
      <c r="B273" s="231">
        <v>12945510.286161287</v>
      </c>
      <c r="C273" s="231">
        <v>1417064</v>
      </c>
      <c r="D273" s="231">
        <v>7753705</v>
      </c>
      <c r="E273" s="231">
        <v>93401.040000000969</v>
      </c>
      <c r="F273" s="232">
        <v>3319656.1294671372</v>
      </c>
      <c r="G273" s="232">
        <v>1158000</v>
      </c>
      <c r="H273" s="232">
        <v>1355000</v>
      </c>
      <c r="I273" s="232">
        <v>407000</v>
      </c>
      <c r="J273" s="232">
        <v>340000</v>
      </c>
      <c r="K273" s="232">
        <v>440000</v>
      </c>
      <c r="L273" s="232">
        <v>136000</v>
      </c>
      <c r="M273" s="232"/>
      <c r="N273" s="232"/>
      <c r="O273" s="232"/>
    </row>
    <row r="274" spans="1:15" x14ac:dyDescent="0.2">
      <c r="A274" t="s">
        <v>475</v>
      </c>
      <c r="B274" s="231">
        <v>34678912.300584681</v>
      </c>
      <c r="C274" s="231">
        <v>4268121</v>
      </c>
      <c r="D274" s="231">
        <v>15642654</v>
      </c>
      <c r="E274" s="231">
        <v>140089.8599999994</v>
      </c>
      <c r="F274" s="232">
        <v>11097613.199344188</v>
      </c>
      <c r="G274" s="232">
        <v>4990000</v>
      </c>
      <c r="H274" s="232">
        <v>3718000</v>
      </c>
      <c r="I274" s="232">
        <v>881000</v>
      </c>
      <c r="J274" s="232">
        <v>760000</v>
      </c>
      <c r="K274" s="232">
        <v>687000</v>
      </c>
      <c r="L274" s="232"/>
      <c r="M274" s="232"/>
      <c r="N274" s="232"/>
      <c r="O274" s="232">
        <v>490000</v>
      </c>
    </row>
    <row r="275" spans="1:15" x14ac:dyDescent="0.2">
      <c r="A275" t="s">
        <v>340</v>
      </c>
      <c r="B275" s="231">
        <v>7801841.5414876128</v>
      </c>
      <c r="C275" s="231">
        <v>851407</v>
      </c>
      <c r="D275" s="231">
        <v>6469675</v>
      </c>
      <c r="E275" s="231">
        <v>103442.04000000004</v>
      </c>
      <c r="F275" s="232">
        <v>2459187.586556741</v>
      </c>
      <c r="G275" s="232">
        <v>980000</v>
      </c>
      <c r="H275" s="232">
        <v>1277000</v>
      </c>
      <c r="I275" s="232">
        <v>225000</v>
      </c>
      <c r="J275" s="232">
        <v>174000</v>
      </c>
      <c r="K275" s="232">
        <v>80000</v>
      </c>
      <c r="L275" s="232">
        <v>82000</v>
      </c>
      <c r="M275" s="232"/>
      <c r="N275" s="232"/>
      <c r="O275" s="232">
        <v>6000</v>
      </c>
    </row>
    <row r="276" spans="1:15" x14ac:dyDescent="0.2">
      <c r="A276" t="s">
        <v>290</v>
      </c>
      <c r="B276" s="231">
        <v>26845776.487433169</v>
      </c>
      <c r="C276" s="231">
        <v>2644899</v>
      </c>
      <c r="D276" s="231">
        <v>17928382</v>
      </c>
      <c r="E276" s="231">
        <v>137957.26000000164</v>
      </c>
      <c r="F276" s="232">
        <v>4851225.3477551639</v>
      </c>
      <c r="G276" s="232">
        <v>2878000</v>
      </c>
      <c r="H276" s="232">
        <v>3460000</v>
      </c>
      <c r="I276" s="232">
        <v>475000</v>
      </c>
      <c r="J276" s="232">
        <v>420000</v>
      </c>
      <c r="K276" s="232">
        <v>488000</v>
      </c>
      <c r="L276" s="232">
        <v>441000</v>
      </c>
      <c r="M276" s="232">
        <v>124000</v>
      </c>
      <c r="N276" s="232">
        <v>48000</v>
      </c>
      <c r="O276" s="232"/>
    </row>
    <row r="277" spans="1:15" x14ac:dyDescent="0.2">
      <c r="A277" t="s">
        <v>476</v>
      </c>
      <c r="B277" s="231">
        <v>41890022.854802668</v>
      </c>
      <c r="C277" s="231">
        <v>4968089</v>
      </c>
      <c r="D277" s="231">
        <v>21494340</v>
      </c>
      <c r="E277" s="231">
        <v>93035.960000008345</v>
      </c>
      <c r="F277" s="232">
        <v>19529314.48642138</v>
      </c>
      <c r="G277" s="232">
        <v>5683000</v>
      </c>
      <c r="H277" s="232">
        <v>2388000</v>
      </c>
      <c r="I277" s="232">
        <v>700000</v>
      </c>
      <c r="J277" s="232">
        <v>829000</v>
      </c>
      <c r="K277" s="232">
        <v>0</v>
      </c>
      <c r="L277" s="232">
        <v>187000</v>
      </c>
      <c r="M277" s="232"/>
      <c r="N277" s="232"/>
      <c r="O277" s="232">
        <v>580000</v>
      </c>
    </row>
    <row r="278" spans="1:15" x14ac:dyDescent="0.2">
      <c r="A278" t="s">
        <v>594</v>
      </c>
      <c r="B278" s="231">
        <v>14272229.841884289</v>
      </c>
      <c r="C278" s="231">
        <v>1742524</v>
      </c>
      <c r="D278" s="231">
        <v>11545017</v>
      </c>
      <c r="E278" s="231">
        <v>130914.72000000253</v>
      </c>
      <c r="F278" s="232">
        <v>3571004</v>
      </c>
      <c r="G278" s="232">
        <v>1662000</v>
      </c>
      <c r="H278" s="232">
        <v>2136000</v>
      </c>
      <c r="I278" s="232">
        <v>156000</v>
      </c>
      <c r="J278" s="232">
        <v>334000</v>
      </c>
      <c r="K278" s="232">
        <v>40000</v>
      </c>
      <c r="L278" s="232">
        <v>350000</v>
      </c>
      <c r="M278" s="232"/>
      <c r="N278" s="232"/>
      <c r="O278" s="232"/>
    </row>
    <row r="279" spans="1:15" x14ac:dyDescent="0.2">
      <c r="A279" t="s">
        <v>595</v>
      </c>
      <c r="B279" s="231">
        <v>51157302.141177058</v>
      </c>
      <c r="C279" s="231">
        <v>5259711</v>
      </c>
      <c r="D279" s="231">
        <v>44085024</v>
      </c>
      <c r="E279" s="231">
        <v>909906.79999999702</v>
      </c>
      <c r="F279" s="232">
        <v>24988494.036746956</v>
      </c>
      <c r="G279" s="232">
        <v>5520000</v>
      </c>
      <c r="H279" s="232">
        <v>4809000</v>
      </c>
      <c r="I279" s="232">
        <v>978000</v>
      </c>
      <c r="J279" s="232">
        <v>1064000</v>
      </c>
      <c r="K279" s="232">
        <v>238000</v>
      </c>
      <c r="L279" s="232">
        <v>317000</v>
      </c>
      <c r="M279" s="232"/>
      <c r="N279" s="232"/>
      <c r="O279" s="232">
        <v>2145000</v>
      </c>
    </row>
    <row r="280" spans="1:15" x14ac:dyDescent="0.2">
      <c r="A280" t="s">
        <v>553</v>
      </c>
      <c r="B280" s="231">
        <v>62507589.426761456</v>
      </c>
      <c r="C280" s="231">
        <v>6598222</v>
      </c>
      <c r="D280" s="231">
        <v>52759379</v>
      </c>
      <c r="E280" s="231">
        <v>667336.21999999136</v>
      </c>
      <c r="F280" s="232">
        <v>20916815.488559414</v>
      </c>
      <c r="G280" s="232">
        <v>10100000</v>
      </c>
      <c r="H280" s="232">
        <v>10964000</v>
      </c>
      <c r="I280" s="232">
        <v>1775000</v>
      </c>
      <c r="J280" s="232">
        <v>1286000</v>
      </c>
      <c r="K280" s="232">
        <v>0</v>
      </c>
      <c r="L280" s="232">
        <v>135000</v>
      </c>
      <c r="M280" s="232"/>
      <c r="N280" s="232">
        <v>155000</v>
      </c>
      <c r="O280" s="232">
        <v>2509000</v>
      </c>
    </row>
    <row r="281" spans="1:15" x14ac:dyDescent="0.2">
      <c r="A281" t="s">
        <v>477</v>
      </c>
      <c r="B281" s="231">
        <v>908021114.72111046</v>
      </c>
      <c r="C281" s="231">
        <v>52062461</v>
      </c>
      <c r="D281" s="231">
        <v>456098422</v>
      </c>
      <c r="E281" s="231">
        <v>67770125.879999995</v>
      </c>
      <c r="F281" s="232">
        <v>527483637.35455143</v>
      </c>
      <c r="G281" s="232">
        <v>115129000</v>
      </c>
      <c r="H281" s="232">
        <v>61408000</v>
      </c>
      <c r="I281" s="232">
        <v>12384000</v>
      </c>
      <c r="J281" s="232">
        <v>14957000</v>
      </c>
      <c r="K281" s="232">
        <v>6052000</v>
      </c>
      <c r="L281" s="232">
        <v>2816000</v>
      </c>
      <c r="M281" s="232"/>
      <c r="N281" s="232">
        <v>700000</v>
      </c>
      <c r="O281" s="232">
        <v>64672000</v>
      </c>
    </row>
    <row r="282" spans="1:15" x14ac:dyDescent="0.2">
      <c r="A282" t="s">
        <v>341</v>
      </c>
      <c r="B282" s="231">
        <v>1996935.4025673873</v>
      </c>
      <c r="C282" s="231">
        <v>70038</v>
      </c>
      <c r="D282" s="231">
        <v>445990</v>
      </c>
      <c r="E282" s="231">
        <v>7044.0999999998603</v>
      </c>
      <c r="F282" s="232">
        <v>58768.752752273213</v>
      </c>
      <c r="G282" s="232">
        <v>151000</v>
      </c>
      <c r="H282" s="232">
        <v>133000</v>
      </c>
      <c r="I282" s="232">
        <v>15000</v>
      </c>
      <c r="J282" s="232">
        <v>46000</v>
      </c>
      <c r="K282" s="232">
        <v>88000</v>
      </c>
      <c r="L282" s="232"/>
      <c r="M282" s="232"/>
      <c r="N282" s="232"/>
      <c r="O282" s="232"/>
    </row>
    <row r="283" spans="1:15" x14ac:dyDescent="0.2">
      <c r="A283" t="s">
        <v>554</v>
      </c>
      <c r="B283" s="231">
        <v>14355204.760212315</v>
      </c>
      <c r="C283" s="231">
        <v>2074311</v>
      </c>
      <c r="D283" s="231">
        <v>15833073</v>
      </c>
      <c r="E283" s="231">
        <v>173264.5700000003</v>
      </c>
      <c r="F283" s="232">
        <v>3926237.3175386759</v>
      </c>
      <c r="G283" s="232">
        <v>2045000</v>
      </c>
      <c r="H283" s="232">
        <v>2130000</v>
      </c>
      <c r="I283" s="232">
        <v>229000</v>
      </c>
      <c r="J283" s="232">
        <v>298000</v>
      </c>
      <c r="K283" s="232">
        <v>45000</v>
      </c>
      <c r="L283" s="232">
        <v>137000</v>
      </c>
      <c r="M283" s="232">
        <v>21000</v>
      </c>
      <c r="N283" s="232"/>
      <c r="O283" s="232"/>
    </row>
    <row r="284" spans="1:15" x14ac:dyDescent="0.2">
      <c r="A284" t="s">
        <v>418</v>
      </c>
      <c r="B284" s="231">
        <v>35805144.196108967</v>
      </c>
      <c r="C284" s="231">
        <v>3148949</v>
      </c>
      <c r="D284" s="231">
        <v>18455450</v>
      </c>
      <c r="E284" s="231">
        <v>390016.93999999762</v>
      </c>
      <c r="F284" s="232">
        <v>6833077.7567833411</v>
      </c>
      <c r="G284" s="232">
        <v>4192000</v>
      </c>
      <c r="H284" s="232">
        <v>3707000</v>
      </c>
      <c r="I284" s="232">
        <v>815000</v>
      </c>
      <c r="J284" s="232">
        <v>680000</v>
      </c>
      <c r="K284" s="232">
        <v>245000</v>
      </c>
      <c r="L284" s="232">
        <v>840000</v>
      </c>
      <c r="M284" s="232">
        <v>1172000</v>
      </c>
      <c r="N284" s="232"/>
      <c r="O284" s="232"/>
    </row>
    <row r="285" spans="1:15" x14ac:dyDescent="0.2">
      <c r="A285" t="s">
        <v>342</v>
      </c>
      <c r="B285" s="231">
        <v>5709876.8137567062</v>
      </c>
      <c r="C285" s="231">
        <v>591858</v>
      </c>
      <c r="D285" s="231">
        <v>3232950</v>
      </c>
      <c r="E285" s="231">
        <v>28241.38000000082</v>
      </c>
      <c r="F285" s="232">
        <v>755675.51415417786</v>
      </c>
      <c r="G285" s="232">
        <v>703000</v>
      </c>
      <c r="H285" s="232">
        <v>990000</v>
      </c>
      <c r="I285" s="232">
        <v>295000</v>
      </c>
      <c r="J285" s="232">
        <v>164000</v>
      </c>
      <c r="K285" s="232">
        <v>122000</v>
      </c>
      <c r="L285" s="232">
        <v>113000</v>
      </c>
      <c r="M285" s="232"/>
      <c r="N285" s="232"/>
      <c r="O285" s="232"/>
    </row>
    <row r="286" spans="1:15" x14ac:dyDescent="0.2">
      <c r="A286" t="s">
        <v>478</v>
      </c>
      <c r="B286" s="231">
        <v>80892758.650460079</v>
      </c>
      <c r="C286" s="231">
        <v>6361536</v>
      </c>
      <c r="D286" s="231">
        <v>41793225</v>
      </c>
      <c r="E286" s="231">
        <v>669692.5</v>
      </c>
      <c r="F286" s="232">
        <v>40568371.854295067</v>
      </c>
      <c r="G286" s="232">
        <v>10814000</v>
      </c>
      <c r="H286" s="232">
        <v>8313000</v>
      </c>
      <c r="I286" s="232">
        <v>659000</v>
      </c>
      <c r="J286" s="232">
        <v>1495000</v>
      </c>
      <c r="K286" s="232">
        <v>0</v>
      </c>
      <c r="L286" s="232"/>
      <c r="M286" s="232"/>
      <c r="N286" s="232">
        <v>115000</v>
      </c>
      <c r="O286" s="232">
        <v>2556000</v>
      </c>
    </row>
    <row r="287" spans="1:15" x14ac:dyDescent="0.2">
      <c r="A287" t="s">
        <v>268</v>
      </c>
      <c r="B287" s="231">
        <v>2173696.2422120455</v>
      </c>
      <c r="C287" s="231">
        <v>103517</v>
      </c>
      <c r="D287" s="231">
        <v>162569</v>
      </c>
      <c r="E287" s="231">
        <v>19785.819999999832</v>
      </c>
      <c r="F287" s="232">
        <v>126504</v>
      </c>
      <c r="G287" s="232">
        <v>374000</v>
      </c>
      <c r="H287" s="232">
        <v>215000</v>
      </c>
      <c r="I287" s="232">
        <v>70000</v>
      </c>
      <c r="J287" s="232">
        <v>29000</v>
      </c>
      <c r="K287" s="232">
        <v>32000</v>
      </c>
      <c r="L287" s="232">
        <v>999000</v>
      </c>
      <c r="M287" s="232">
        <v>181000</v>
      </c>
      <c r="N287" s="232"/>
      <c r="O287" s="232"/>
    </row>
    <row r="288" spans="1:15" x14ac:dyDescent="0.2">
      <c r="A288" t="s">
        <v>555</v>
      </c>
      <c r="B288" s="231">
        <v>15914668.867709316</v>
      </c>
      <c r="C288" s="231">
        <v>1746187</v>
      </c>
      <c r="D288" s="231">
        <v>14098433</v>
      </c>
      <c r="E288" s="231">
        <v>125265.53999999911</v>
      </c>
      <c r="F288" s="232">
        <v>3253864.7352312733</v>
      </c>
      <c r="G288" s="232">
        <v>2443000</v>
      </c>
      <c r="H288" s="232">
        <v>2001000</v>
      </c>
      <c r="I288" s="232">
        <v>347000</v>
      </c>
      <c r="J288" s="232">
        <v>373000</v>
      </c>
      <c r="K288" s="232">
        <v>0</v>
      </c>
      <c r="L288" s="232"/>
      <c r="M288" s="232"/>
      <c r="N288" s="232">
        <v>94000</v>
      </c>
      <c r="O288" s="232"/>
    </row>
    <row r="289" spans="1:15" x14ac:dyDescent="0.2">
      <c r="A289" t="s">
        <v>596</v>
      </c>
      <c r="B289" s="231">
        <v>8751262.660223322</v>
      </c>
      <c r="C289" s="231">
        <v>1088979</v>
      </c>
      <c r="D289" s="231">
        <v>7870119</v>
      </c>
      <c r="E289" s="231">
        <v>54774.98000000231</v>
      </c>
      <c r="F289" s="232">
        <v>2645569.2438412788</v>
      </c>
      <c r="G289" s="232">
        <v>1074000</v>
      </c>
      <c r="H289" s="232">
        <v>1665000</v>
      </c>
      <c r="I289" s="232">
        <v>115000</v>
      </c>
      <c r="J289" s="232">
        <v>253000</v>
      </c>
      <c r="K289" s="232">
        <v>0</v>
      </c>
      <c r="L289" s="232">
        <v>13000</v>
      </c>
      <c r="M289" s="232"/>
      <c r="N289" s="232"/>
      <c r="O289" s="232"/>
    </row>
    <row r="290" spans="1:15" x14ac:dyDescent="0.2">
      <c r="A290" t="s">
        <v>503</v>
      </c>
      <c r="B290" s="231">
        <v>27470353.007907748</v>
      </c>
      <c r="C290" s="231">
        <v>2746280</v>
      </c>
      <c r="D290" s="231">
        <v>16449476</v>
      </c>
      <c r="E290" s="231">
        <v>443477.48000000417</v>
      </c>
      <c r="F290" s="232">
        <v>5430882.4105975823</v>
      </c>
      <c r="G290" s="232">
        <v>4161000</v>
      </c>
      <c r="H290" s="232">
        <v>5513000</v>
      </c>
      <c r="I290" s="232">
        <v>1250000</v>
      </c>
      <c r="J290" s="232">
        <v>614000</v>
      </c>
      <c r="K290" s="232">
        <v>409000</v>
      </c>
      <c r="L290" s="232">
        <v>4852000</v>
      </c>
      <c r="M290" s="232">
        <v>1787000</v>
      </c>
      <c r="N290" s="232"/>
      <c r="O290" s="232">
        <v>1711000</v>
      </c>
    </row>
    <row r="291" spans="1:15" x14ac:dyDescent="0.2">
      <c r="A291" t="s">
        <v>629</v>
      </c>
      <c r="B291" s="231">
        <v>711993317.93616426</v>
      </c>
      <c r="C291" s="231">
        <v>36742045</v>
      </c>
      <c r="D291" s="231">
        <v>330794627</v>
      </c>
      <c r="E291" s="231">
        <v>51133633.600000024</v>
      </c>
      <c r="F291" s="232">
        <v>326394262.20761114</v>
      </c>
      <c r="G291" s="232">
        <v>58660000</v>
      </c>
      <c r="H291" s="232">
        <v>35383000</v>
      </c>
      <c r="I291" s="232">
        <v>18257000</v>
      </c>
      <c r="J291" s="232">
        <v>12359000</v>
      </c>
      <c r="K291" s="232">
        <v>2021000</v>
      </c>
      <c r="L291" s="232">
        <v>4116000</v>
      </c>
      <c r="M291" s="232"/>
      <c r="N291" s="232"/>
      <c r="O291" s="232">
        <v>42248000</v>
      </c>
    </row>
    <row r="292" spans="1:15" x14ac:dyDescent="0.2">
      <c r="A292" t="s">
        <v>744</v>
      </c>
      <c r="B292" s="231">
        <v>123979763.79719682</v>
      </c>
      <c r="C292" s="231">
        <v>10713421</v>
      </c>
      <c r="D292" s="231">
        <v>99782570</v>
      </c>
      <c r="E292" s="231">
        <v>9539494.6300000101</v>
      </c>
      <c r="F292" s="232">
        <v>47205716.226203628</v>
      </c>
      <c r="G292" s="232">
        <v>16748946.118397731</v>
      </c>
      <c r="H292" s="232">
        <v>9396137.5398794748</v>
      </c>
      <c r="I292" s="232">
        <v>2639087.5576036866</v>
      </c>
      <c r="J292" s="232">
        <v>2722590.570719603</v>
      </c>
      <c r="K292" s="232">
        <v>111000</v>
      </c>
      <c r="L292" s="232">
        <v>645919.88656504778</v>
      </c>
      <c r="M292" s="232">
        <v>6008.5076214108467</v>
      </c>
      <c r="N292" s="232">
        <v>0</v>
      </c>
      <c r="O292" s="232">
        <v>12504000</v>
      </c>
    </row>
    <row r="293" spans="1:15" x14ac:dyDescent="0.2">
      <c r="A293" t="s">
        <v>597</v>
      </c>
      <c r="B293" s="231">
        <v>7732176.866225847</v>
      </c>
      <c r="C293" s="231">
        <v>1059408</v>
      </c>
      <c r="D293" s="231">
        <v>7735201</v>
      </c>
      <c r="E293" s="231">
        <v>32344.440000001341</v>
      </c>
      <c r="F293" s="232">
        <v>1916831.3024529216</v>
      </c>
      <c r="G293" s="232">
        <v>815000</v>
      </c>
      <c r="H293" s="232">
        <v>1300000</v>
      </c>
      <c r="I293" s="232">
        <v>70000</v>
      </c>
      <c r="J293" s="232">
        <v>170000</v>
      </c>
      <c r="K293" s="232">
        <v>50000</v>
      </c>
      <c r="L293" s="232">
        <v>71000</v>
      </c>
      <c r="M293" s="232"/>
      <c r="N293" s="232"/>
      <c r="O293" s="232"/>
    </row>
    <row r="294" spans="1:15" x14ac:dyDescent="0.2">
      <c r="A294" t="s">
        <v>619</v>
      </c>
      <c r="B294" s="231">
        <v>8443816.46792146</v>
      </c>
      <c r="C294" s="231">
        <v>850196</v>
      </c>
      <c r="D294" s="231">
        <v>4765872</v>
      </c>
      <c r="E294" s="231">
        <v>243132.62000000104</v>
      </c>
      <c r="F294" s="232">
        <v>718632.20645429881</v>
      </c>
      <c r="G294" s="232">
        <v>679000</v>
      </c>
      <c r="H294" s="232">
        <v>1377000</v>
      </c>
      <c r="I294" s="232">
        <v>415000</v>
      </c>
      <c r="J294" s="232">
        <v>190000</v>
      </c>
      <c r="K294" s="232">
        <v>117000</v>
      </c>
      <c r="L294" s="232">
        <v>125000</v>
      </c>
      <c r="M294" s="232"/>
      <c r="N294" s="232"/>
      <c r="O294" s="232"/>
    </row>
    <row r="295" spans="1:15" x14ac:dyDescent="0.2">
      <c r="A295" t="s">
        <v>557</v>
      </c>
      <c r="B295" s="231">
        <v>17200160.17731256</v>
      </c>
      <c r="C295" s="231">
        <v>1987698</v>
      </c>
      <c r="D295" s="231">
        <v>13422843</v>
      </c>
      <c r="E295" s="231">
        <v>77519.699999999255</v>
      </c>
      <c r="F295" s="232">
        <v>2662460.4560882109</v>
      </c>
      <c r="G295" s="232">
        <v>1597000</v>
      </c>
      <c r="H295" s="232">
        <v>1763000</v>
      </c>
      <c r="I295" s="232">
        <v>720000</v>
      </c>
      <c r="J295" s="232">
        <v>398000</v>
      </c>
      <c r="K295" s="232">
        <v>3000</v>
      </c>
      <c r="L295" s="232">
        <v>49000</v>
      </c>
      <c r="M295" s="232"/>
      <c r="N295" s="232"/>
      <c r="O295" s="232"/>
    </row>
    <row r="296" spans="1:15" x14ac:dyDescent="0.2">
      <c r="A296" t="s">
        <v>558</v>
      </c>
      <c r="B296" s="231">
        <v>10663269.362642808</v>
      </c>
      <c r="C296" s="231">
        <v>1185360</v>
      </c>
      <c r="D296" s="231">
        <v>7520318</v>
      </c>
      <c r="E296" s="231">
        <v>90174.839999997988</v>
      </c>
      <c r="F296" s="232">
        <v>1543970.0552353857</v>
      </c>
      <c r="G296" s="232">
        <v>1442000</v>
      </c>
      <c r="H296" s="232">
        <v>1226000</v>
      </c>
      <c r="I296" s="232">
        <v>530000</v>
      </c>
      <c r="J296" s="232">
        <v>341000</v>
      </c>
      <c r="K296" s="232">
        <v>0</v>
      </c>
      <c r="L296" s="232">
        <v>69000</v>
      </c>
      <c r="M296" s="232"/>
      <c r="N296" s="232">
        <v>54000</v>
      </c>
      <c r="O296" s="232"/>
    </row>
    <row r="297" spans="1:15" x14ac:dyDescent="0.2">
      <c r="A297" t="s">
        <v>598</v>
      </c>
      <c r="B297" s="231">
        <v>80419876.640164912</v>
      </c>
      <c r="C297" s="231">
        <v>9648720</v>
      </c>
      <c r="D297" s="231">
        <v>69350022</v>
      </c>
      <c r="E297" s="231">
        <v>823894.40000000596</v>
      </c>
      <c r="F297" s="232">
        <v>37370063.04508397</v>
      </c>
      <c r="G297" s="232">
        <v>10940000</v>
      </c>
      <c r="H297" s="232">
        <v>9224000</v>
      </c>
      <c r="I297" s="232">
        <v>1852000</v>
      </c>
      <c r="J297" s="232">
        <v>1526000</v>
      </c>
      <c r="K297" s="232">
        <v>330000</v>
      </c>
      <c r="L297" s="232">
        <v>77000</v>
      </c>
      <c r="M297" s="232"/>
      <c r="N297" s="232">
        <v>338000</v>
      </c>
      <c r="O297" s="232">
        <v>6209000</v>
      </c>
    </row>
    <row r="298" spans="1:15" x14ac:dyDescent="0.2">
      <c r="A298" t="s">
        <v>480</v>
      </c>
      <c r="B298" s="231">
        <v>18776775.763458565</v>
      </c>
      <c r="C298" s="231">
        <v>2341402</v>
      </c>
      <c r="D298" s="231">
        <v>11341549</v>
      </c>
      <c r="E298" s="231">
        <v>181464.73999999836</v>
      </c>
      <c r="F298" s="232">
        <v>5008598.1723080231</v>
      </c>
      <c r="G298" s="232">
        <v>2104000</v>
      </c>
      <c r="H298" s="232">
        <v>2324000</v>
      </c>
      <c r="I298" s="232">
        <v>440000</v>
      </c>
      <c r="J298" s="232">
        <v>328000</v>
      </c>
      <c r="K298" s="232">
        <v>413000</v>
      </c>
      <c r="L298" s="232"/>
      <c r="M298" s="232"/>
      <c r="N298" s="232">
        <v>42000</v>
      </c>
      <c r="O298" s="232"/>
    </row>
    <row r="299" spans="1:15" x14ac:dyDescent="0.2">
      <c r="A299" t="s">
        <v>245</v>
      </c>
      <c r="B299" s="231">
        <v>11772700.413408259</v>
      </c>
      <c r="C299" s="231">
        <v>1081107</v>
      </c>
      <c r="D299" s="231">
        <v>6816615</v>
      </c>
      <c r="E299" s="231">
        <v>123457.03999999724</v>
      </c>
      <c r="F299" s="232">
        <v>2925934.1356060454</v>
      </c>
      <c r="G299" s="232">
        <v>1539000</v>
      </c>
      <c r="H299" s="232">
        <v>1540000</v>
      </c>
      <c r="I299" s="232">
        <v>364000</v>
      </c>
      <c r="J299" s="232">
        <v>236000</v>
      </c>
      <c r="K299" s="232">
        <v>0</v>
      </c>
      <c r="L299" s="232">
        <v>42000</v>
      </c>
      <c r="M299" s="232"/>
      <c r="N299" s="232"/>
      <c r="O299" s="232"/>
    </row>
    <row r="300" spans="1:15" x14ac:dyDescent="0.2">
      <c r="A300" t="s">
        <v>504</v>
      </c>
      <c r="B300" s="231">
        <v>20338213.191945452</v>
      </c>
      <c r="C300" s="231">
        <v>2261434</v>
      </c>
      <c r="D300" s="231">
        <v>10482176</v>
      </c>
      <c r="E300" s="231">
        <v>391843.46000000089</v>
      </c>
      <c r="F300" s="232">
        <v>4203977.153654159</v>
      </c>
      <c r="G300" s="232">
        <v>3300000</v>
      </c>
      <c r="H300" s="232">
        <v>3687000</v>
      </c>
      <c r="I300" s="232">
        <v>526000</v>
      </c>
      <c r="J300" s="232">
        <v>393000</v>
      </c>
      <c r="K300" s="232">
        <v>308000</v>
      </c>
      <c r="L300" s="232">
        <v>2888000</v>
      </c>
      <c r="M300" s="232">
        <v>1228000</v>
      </c>
      <c r="N300" s="232">
        <v>175000</v>
      </c>
      <c r="O300" s="232">
        <v>2009000</v>
      </c>
    </row>
    <row r="301" spans="1:15" x14ac:dyDescent="0.2">
      <c r="A301" t="s">
        <v>269</v>
      </c>
      <c r="B301" s="231">
        <v>50381195.949926361</v>
      </c>
      <c r="C301" s="231">
        <v>5105159</v>
      </c>
      <c r="D301" s="231">
        <v>42080928</v>
      </c>
      <c r="E301" s="231">
        <v>424035.1400000006</v>
      </c>
      <c r="F301" s="232">
        <v>23376924.010730442</v>
      </c>
      <c r="G301" s="232">
        <v>4847000</v>
      </c>
      <c r="H301" s="232">
        <v>6807000</v>
      </c>
      <c r="I301" s="232">
        <v>1365000</v>
      </c>
      <c r="J301" s="232">
        <v>944000</v>
      </c>
      <c r="K301" s="232">
        <v>476000</v>
      </c>
      <c r="L301" s="232"/>
      <c r="M301" s="232">
        <v>18000</v>
      </c>
      <c r="N301" s="232">
        <v>93000</v>
      </c>
      <c r="O301" s="232">
        <v>1965000</v>
      </c>
    </row>
    <row r="302" spans="1:15" x14ac:dyDescent="0.2">
      <c r="A302" t="s">
        <v>370</v>
      </c>
      <c r="B302" s="231">
        <v>31369107.666394591</v>
      </c>
      <c r="C302" s="231">
        <v>3340205</v>
      </c>
      <c r="D302" s="231">
        <v>20353083</v>
      </c>
      <c r="E302" s="231">
        <v>182016.57999999821</v>
      </c>
      <c r="F302" s="232">
        <v>7857464.9312482653</v>
      </c>
      <c r="G302" s="232">
        <v>3718000</v>
      </c>
      <c r="H302" s="232">
        <v>6276000</v>
      </c>
      <c r="I302" s="232">
        <v>1027000</v>
      </c>
      <c r="J302" s="232">
        <v>617000</v>
      </c>
      <c r="K302" s="232">
        <v>479000</v>
      </c>
      <c r="L302" s="232"/>
      <c r="M302" s="232"/>
      <c r="N302" s="232"/>
      <c r="O302" s="232"/>
    </row>
    <row r="303" spans="1:15" x14ac:dyDescent="0.2">
      <c r="A303" t="s">
        <v>559</v>
      </c>
      <c r="B303" s="231">
        <v>12440806.572298508</v>
      </c>
      <c r="C303" s="231">
        <v>1298396</v>
      </c>
      <c r="D303" s="231">
        <v>7865233</v>
      </c>
      <c r="E303" s="231">
        <v>68596.559999998659</v>
      </c>
      <c r="F303" s="232">
        <v>2896852.7566779801</v>
      </c>
      <c r="G303" s="232">
        <v>1166000</v>
      </c>
      <c r="H303" s="232">
        <v>1230000</v>
      </c>
      <c r="I303" s="232">
        <v>465000</v>
      </c>
      <c r="J303" s="232">
        <v>265000</v>
      </c>
      <c r="K303" s="232">
        <v>0</v>
      </c>
      <c r="L303" s="232">
        <v>127000</v>
      </c>
      <c r="M303" s="232"/>
      <c r="N303" s="232"/>
      <c r="O303" s="232"/>
    </row>
    <row r="304" spans="1:15" x14ac:dyDescent="0.2">
      <c r="A304" t="s">
        <v>560</v>
      </c>
      <c r="B304" s="231">
        <v>9328371.7300412785</v>
      </c>
      <c r="C304" s="231">
        <v>1177224</v>
      </c>
      <c r="D304" s="231">
        <v>5564279</v>
      </c>
      <c r="E304" s="231">
        <v>68028.679999999702</v>
      </c>
      <c r="F304" s="232">
        <v>2547075.2092509149</v>
      </c>
      <c r="G304" s="232">
        <v>1245000</v>
      </c>
      <c r="H304" s="232">
        <v>1068000</v>
      </c>
      <c r="I304" s="232">
        <v>430000</v>
      </c>
      <c r="J304" s="232">
        <v>255000</v>
      </c>
      <c r="K304" s="232">
        <v>0</v>
      </c>
      <c r="L304" s="232"/>
      <c r="M304" s="232"/>
      <c r="N304" s="232"/>
      <c r="O304" s="232"/>
    </row>
    <row r="305" spans="1:15" x14ac:dyDescent="0.2">
      <c r="A305" t="s">
        <v>246</v>
      </c>
      <c r="B305" s="231">
        <v>30021526.736478232</v>
      </c>
      <c r="C305" s="231">
        <v>4108563</v>
      </c>
      <c r="D305" s="231">
        <v>38004301</v>
      </c>
      <c r="E305" s="231">
        <v>370190.66000000387</v>
      </c>
      <c r="F305" s="232">
        <v>14466501.076787148</v>
      </c>
      <c r="G305" s="232">
        <v>2857000</v>
      </c>
      <c r="H305" s="232">
        <v>3228000</v>
      </c>
      <c r="I305" s="232">
        <v>250000</v>
      </c>
      <c r="J305" s="232">
        <v>435000</v>
      </c>
      <c r="K305" s="232">
        <v>52000</v>
      </c>
      <c r="L305" s="232">
        <v>80000</v>
      </c>
      <c r="M305" s="232"/>
      <c r="N305" s="232"/>
      <c r="O305" s="232"/>
    </row>
    <row r="306" spans="1:15" x14ac:dyDescent="0.2">
      <c r="A306" t="s">
        <v>291</v>
      </c>
      <c r="B306" s="231">
        <v>10941331.451411592</v>
      </c>
      <c r="C306" s="231">
        <v>813320</v>
      </c>
      <c r="D306" s="231">
        <v>6616242</v>
      </c>
      <c r="E306" s="231">
        <v>139403.58000000007</v>
      </c>
      <c r="F306" s="232">
        <v>1329177.6284754856</v>
      </c>
      <c r="G306" s="232">
        <v>1114000</v>
      </c>
      <c r="H306" s="232">
        <v>1507000</v>
      </c>
      <c r="I306" s="232">
        <v>374000</v>
      </c>
      <c r="J306" s="232">
        <v>224000</v>
      </c>
      <c r="K306" s="232">
        <v>171000</v>
      </c>
      <c r="L306" s="232">
        <v>46000</v>
      </c>
      <c r="M306" s="232">
        <v>62000</v>
      </c>
      <c r="N306" s="232"/>
      <c r="O306" s="232"/>
    </row>
    <row r="307" spans="1:15" x14ac:dyDescent="0.2">
      <c r="A307" t="s">
        <v>420</v>
      </c>
      <c r="B307" s="231">
        <v>16099057.931232119</v>
      </c>
      <c r="C307" s="231">
        <v>1416983</v>
      </c>
      <c r="D307" s="231">
        <v>10827350</v>
      </c>
      <c r="E307" s="231">
        <v>70688.11999999918</v>
      </c>
      <c r="F307" s="232">
        <v>2617794.1516856449</v>
      </c>
      <c r="G307" s="232">
        <v>2451000</v>
      </c>
      <c r="H307" s="232">
        <v>1406000</v>
      </c>
      <c r="I307" s="232">
        <v>287000</v>
      </c>
      <c r="J307" s="232">
        <v>345000</v>
      </c>
      <c r="K307" s="232">
        <v>7000</v>
      </c>
      <c r="L307" s="232"/>
      <c r="M307" s="232"/>
      <c r="N307" s="232"/>
      <c r="O307" s="232"/>
    </row>
    <row r="308" spans="1:15" x14ac:dyDescent="0.2">
      <c r="A308" t="s">
        <v>561</v>
      </c>
      <c r="B308" s="231">
        <v>16912020.926652975</v>
      </c>
      <c r="C308" s="231">
        <v>1886840</v>
      </c>
      <c r="D308" s="231">
        <v>11167176</v>
      </c>
      <c r="E308" s="231">
        <v>98968.039999999106</v>
      </c>
      <c r="F308" s="232">
        <v>3770782.4567845347</v>
      </c>
      <c r="G308" s="232">
        <v>2833000</v>
      </c>
      <c r="H308" s="232">
        <v>1393000</v>
      </c>
      <c r="I308" s="232">
        <v>512000</v>
      </c>
      <c r="J308" s="232">
        <v>317000</v>
      </c>
      <c r="K308" s="232">
        <v>49000</v>
      </c>
      <c r="L308" s="232"/>
      <c r="M308" s="232">
        <v>9000</v>
      </c>
      <c r="N308" s="232">
        <v>63000</v>
      </c>
      <c r="O308" s="232"/>
    </row>
    <row r="309" spans="1:15" x14ac:dyDescent="0.2">
      <c r="A309" t="s">
        <v>292</v>
      </c>
      <c r="B309" s="231">
        <v>35785880.074540272</v>
      </c>
      <c r="C309" s="231">
        <v>3805972</v>
      </c>
      <c r="D309" s="231">
        <v>27506782</v>
      </c>
      <c r="E309" s="231">
        <v>355783.71999999881</v>
      </c>
      <c r="F309" s="232">
        <v>10862102.082199847</v>
      </c>
      <c r="G309" s="232">
        <v>3239000</v>
      </c>
      <c r="H309" s="232">
        <v>5718000</v>
      </c>
      <c r="I309" s="232">
        <v>1432000</v>
      </c>
      <c r="J309" s="232">
        <v>608000</v>
      </c>
      <c r="K309" s="232">
        <v>459000</v>
      </c>
      <c r="L309" s="232">
        <v>442000</v>
      </c>
      <c r="M309" s="232">
        <v>915000</v>
      </c>
      <c r="N309" s="232"/>
      <c r="O309" s="232">
        <v>281000</v>
      </c>
    </row>
    <row r="310" spans="1:15" x14ac:dyDescent="0.2">
      <c r="A310" t="s">
        <v>599</v>
      </c>
      <c r="B310" s="231">
        <v>17830124.270218957</v>
      </c>
      <c r="C310" s="231">
        <v>2352846</v>
      </c>
      <c r="D310" s="231">
        <v>14819210</v>
      </c>
      <c r="E310" s="231">
        <v>173773.76000000164</v>
      </c>
      <c r="F310" s="232">
        <v>4753636.5244785761</v>
      </c>
      <c r="G310" s="232">
        <v>2354000</v>
      </c>
      <c r="H310" s="232">
        <v>2697000</v>
      </c>
      <c r="I310" s="232">
        <v>717000</v>
      </c>
      <c r="J310" s="232">
        <v>484000</v>
      </c>
      <c r="K310" s="232">
        <v>107000</v>
      </c>
      <c r="L310" s="232">
        <v>97000</v>
      </c>
      <c r="M310" s="232"/>
      <c r="N310" s="232"/>
      <c r="O310" s="232"/>
    </row>
    <row r="311" spans="1:15" x14ac:dyDescent="0.2">
      <c r="A311" t="s">
        <v>371</v>
      </c>
      <c r="B311" s="231">
        <v>43898346.145408973</v>
      </c>
      <c r="C311" s="231">
        <v>3677246</v>
      </c>
      <c r="D311" s="231">
        <v>22377265</v>
      </c>
      <c r="E311" s="231">
        <v>273514.26000000536</v>
      </c>
      <c r="F311" s="232">
        <v>9671383.86275254</v>
      </c>
      <c r="G311" s="232">
        <v>5288000</v>
      </c>
      <c r="H311" s="232">
        <v>6151000</v>
      </c>
      <c r="I311" s="232">
        <v>1500000</v>
      </c>
      <c r="J311" s="232">
        <v>1166000</v>
      </c>
      <c r="K311" s="232">
        <v>643000</v>
      </c>
      <c r="L311" s="232">
        <v>156000</v>
      </c>
      <c r="M311" s="232">
        <v>105000</v>
      </c>
      <c r="N311" s="232"/>
      <c r="O311" s="232">
        <v>190000</v>
      </c>
    </row>
    <row r="312" spans="1:15" x14ac:dyDescent="0.2">
      <c r="A312" t="s">
        <v>482</v>
      </c>
      <c r="B312" s="231">
        <v>6225701.0498143872</v>
      </c>
      <c r="C312" s="231">
        <v>622536</v>
      </c>
      <c r="D312" s="231">
        <v>3691434</v>
      </c>
      <c r="E312" s="231">
        <v>107302.29999999981</v>
      </c>
      <c r="F312" s="232">
        <v>920814</v>
      </c>
      <c r="G312" s="232">
        <v>0</v>
      </c>
      <c r="H312" s="232">
        <v>905000</v>
      </c>
      <c r="I312" s="232">
        <v>187000</v>
      </c>
      <c r="J312" s="232">
        <v>114000</v>
      </c>
      <c r="K312" s="232">
        <v>112000</v>
      </c>
      <c r="L312" s="232">
        <v>29000</v>
      </c>
      <c r="M312" s="232"/>
      <c r="N312" s="232"/>
      <c r="O312" s="232"/>
    </row>
    <row r="313" spans="1:15" x14ac:dyDescent="0.2">
      <c r="A313" t="s">
        <v>800</v>
      </c>
      <c r="B313" s="231">
        <v>73956638.473577082</v>
      </c>
      <c r="C313" s="231">
        <v>6786003</v>
      </c>
      <c r="D313" s="231">
        <v>49542311</v>
      </c>
      <c r="E313" s="231">
        <v>812132.01999999583</v>
      </c>
      <c r="F313" s="232">
        <v>26870207.264831074</v>
      </c>
      <c r="G313" s="232"/>
      <c r="H313" s="232"/>
      <c r="I313" s="232"/>
      <c r="J313" s="232"/>
      <c r="K313" s="232"/>
      <c r="L313" s="232"/>
      <c r="M313" s="232"/>
      <c r="N313" s="232"/>
      <c r="O313" s="232"/>
    </row>
    <row r="314" spans="1:15" x14ac:dyDescent="0.2">
      <c r="A314" t="s">
        <v>247</v>
      </c>
      <c r="B314" s="231">
        <v>5808455.4283974599</v>
      </c>
      <c r="C314" s="231">
        <v>507242</v>
      </c>
      <c r="D314" s="231">
        <v>3331629</v>
      </c>
      <c r="E314" s="231">
        <v>39162.799999998882</v>
      </c>
      <c r="F314" s="232">
        <v>1073025.4884842429</v>
      </c>
      <c r="G314" s="232">
        <v>786000</v>
      </c>
      <c r="H314" s="232">
        <v>780000</v>
      </c>
      <c r="I314" s="232">
        <v>173000</v>
      </c>
      <c r="J314" s="232">
        <v>115000</v>
      </c>
      <c r="K314" s="232">
        <v>41000</v>
      </c>
      <c r="L314" s="232"/>
      <c r="M314" s="232"/>
      <c r="N314" s="232"/>
      <c r="O314" s="232"/>
    </row>
    <row r="315" spans="1:15" x14ac:dyDescent="0.2">
      <c r="A315" t="s">
        <v>505</v>
      </c>
      <c r="B315" s="231">
        <v>44006763.482475854</v>
      </c>
      <c r="C315" s="231">
        <v>5336599</v>
      </c>
      <c r="D315" s="231">
        <v>35290184</v>
      </c>
      <c r="E315" s="231">
        <v>816108.97999999672</v>
      </c>
      <c r="F315" s="232">
        <v>13669351.742789246</v>
      </c>
      <c r="G315" s="232">
        <v>7711000</v>
      </c>
      <c r="H315" s="232">
        <v>4186000</v>
      </c>
      <c r="I315" s="232">
        <v>1030000</v>
      </c>
      <c r="J315" s="232">
        <v>1026000</v>
      </c>
      <c r="K315" s="232">
        <v>667000</v>
      </c>
      <c r="L315" s="232">
        <v>191000</v>
      </c>
      <c r="M315" s="232">
        <v>267000</v>
      </c>
      <c r="N315" s="232"/>
      <c r="O315" s="232">
        <v>1206000</v>
      </c>
    </row>
    <row r="316" spans="1:15" x14ac:dyDescent="0.2">
      <c r="A316" t="s">
        <v>270</v>
      </c>
      <c r="B316" s="231">
        <v>5914324.7162998887</v>
      </c>
      <c r="C316" s="231">
        <v>307632</v>
      </c>
      <c r="D316" s="231">
        <v>1746593</v>
      </c>
      <c r="E316" s="231">
        <v>41267.019999999553</v>
      </c>
      <c r="F316" s="232">
        <v>309788.16155463248</v>
      </c>
      <c r="G316" s="232">
        <v>683000</v>
      </c>
      <c r="H316" s="232">
        <v>666000</v>
      </c>
      <c r="I316" s="232">
        <v>209000</v>
      </c>
      <c r="J316" s="232">
        <v>160000</v>
      </c>
      <c r="K316" s="232">
        <v>8000</v>
      </c>
      <c r="L316" s="232">
        <v>2313000</v>
      </c>
      <c r="M316" s="232">
        <v>473000</v>
      </c>
      <c r="N316" s="232"/>
      <c r="O316" s="232"/>
    </row>
    <row r="317" spans="1:15" x14ac:dyDescent="0.2">
      <c r="A317" t="s">
        <v>421</v>
      </c>
      <c r="B317" s="231">
        <v>13907503.911069827</v>
      </c>
      <c r="C317" s="231">
        <v>1029817</v>
      </c>
      <c r="D317" s="231">
        <v>7008370</v>
      </c>
      <c r="E317" s="231">
        <v>167155.63999999873</v>
      </c>
      <c r="F317" s="232">
        <v>1464449.2613509574</v>
      </c>
      <c r="G317" s="232">
        <v>1736000</v>
      </c>
      <c r="H317" s="232">
        <v>3031000</v>
      </c>
      <c r="I317" s="232">
        <v>729000</v>
      </c>
      <c r="J317" s="232">
        <v>218000</v>
      </c>
      <c r="K317" s="232">
        <v>63000</v>
      </c>
      <c r="L317" s="232">
        <v>3594000</v>
      </c>
      <c r="M317" s="232">
        <v>1079000</v>
      </c>
      <c r="N317" s="232"/>
      <c r="O317" s="232">
        <v>1246000</v>
      </c>
    </row>
    <row r="318" spans="1:15" x14ac:dyDescent="0.2">
      <c r="A318" t="s">
        <v>483</v>
      </c>
      <c r="B318" s="231">
        <v>22114292.102619741</v>
      </c>
      <c r="C318" s="231">
        <v>1989648</v>
      </c>
      <c r="D318" s="231">
        <v>14972037</v>
      </c>
      <c r="E318" s="231">
        <v>132447.27999999747</v>
      </c>
      <c r="F318" s="232">
        <v>3916832.8797467328</v>
      </c>
      <c r="G318" s="232">
        <v>4349000</v>
      </c>
      <c r="H318" s="232">
        <v>2314000</v>
      </c>
      <c r="I318" s="232">
        <v>1086000</v>
      </c>
      <c r="J318" s="232">
        <v>523000</v>
      </c>
      <c r="K318" s="232">
        <v>0</v>
      </c>
      <c r="L318" s="232"/>
      <c r="M318" s="232">
        <v>100000</v>
      </c>
      <c r="N318" s="232"/>
      <c r="O318" s="232">
        <v>11000</v>
      </c>
    </row>
    <row r="319" spans="1:15" x14ac:dyDescent="0.2">
      <c r="A319" t="s">
        <v>506</v>
      </c>
      <c r="B319" s="231">
        <v>18826201.979613233</v>
      </c>
      <c r="C319" s="231">
        <v>2035509</v>
      </c>
      <c r="D319" s="231">
        <v>11442666</v>
      </c>
      <c r="E319" s="231">
        <v>251153.71999999881</v>
      </c>
      <c r="F319" s="232">
        <v>3599268.5101907323</v>
      </c>
      <c r="G319" s="232">
        <v>2758000</v>
      </c>
      <c r="H319" s="232">
        <v>2383000</v>
      </c>
      <c r="I319" s="232">
        <v>495000</v>
      </c>
      <c r="J319" s="232">
        <v>381000</v>
      </c>
      <c r="K319" s="232">
        <v>577000</v>
      </c>
      <c r="L319" s="232">
        <v>217000</v>
      </c>
      <c r="M319" s="232">
        <v>85000</v>
      </c>
      <c r="N319" s="232"/>
      <c r="O319" s="232"/>
    </row>
    <row r="320" spans="1:15" x14ac:dyDescent="0.2">
      <c r="A320" t="s">
        <v>343</v>
      </c>
      <c r="B320" s="231">
        <v>36980278.160505384</v>
      </c>
      <c r="C320" s="231">
        <v>2897676</v>
      </c>
      <c r="D320" s="231">
        <v>26622346</v>
      </c>
      <c r="E320" s="231">
        <v>850311.65999999642</v>
      </c>
      <c r="F320" s="232">
        <v>14553868.393343605</v>
      </c>
      <c r="G320" s="232">
        <v>0</v>
      </c>
      <c r="H320" s="232">
        <v>3208000</v>
      </c>
      <c r="I320" s="232">
        <v>553000</v>
      </c>
      <c r="J320" s="232">
        <v>650000</v>
      </c>
      <c r="K320" s="232">
        <v>223000</v>
      </c>
      <c r="L320" s="232">
        <v>40000</v>
      </c>
      <c r="M320" s="232"/>
      <c r="N320" s="232">
        <v>500000</v>
      </c>
      <c r="O320" s="232">
        <v>1470000</v>
      </c>
    </row>
    <row r="321" spans="1:15" x14ac:dyDescent="0.2">
      <c r="A321" t="s">
        <v>562</v>
      </c>
      <c r="B321" s="231">
        <v>191090023.72700387</v>
      </c>
      <c r="C321" s="231">
        <v>16366050</v>
      </c>
      <c r="D321" s="231">
        <v>170051269</v>
      </c>
      <c r="E321" s="231">
        <v>16799535.48999995</v>
      </c>
      <c r="F321" s="232">
        <v>88356767.260734901</v>
      </c>
      <c r="G321" s="232">
        <v>20606000</v>
      </c>
      <c r="H321" s="232">
        <v>13494000</v>
      </c>
      <c r="I321" s="232">
        <v>5664000</v>
      </c>
      <c r="J321" s="232">
        <v>4044000</v>
      </c>
      <c r="K321" s="232">
        <v>305000</v>
      </c>
      <c r="L321" s="232">
        <v>210000</v>
      </c>
      <c r="M321" s="232"/>
      <c r="N321" s="232">
        <v>149000</v>
      </c>
      <c r="O321" s="232">
        <v>11176000</v>
      </c>
    </row>
    <row r="322" spans="1:15" x14ac:dyDescent="0.2">
      <c r="A322" t="s">
        <v>293</v>
      </c>
      <c r="B322" s="231">
        <v>13464781.046304589</v>
      </c>
      <c r="C322" s="231">
        <v>1368460</v>
      </c>
      <c r="D322" s="231">
        <v>7753423</v>
      </c>
      <c r="E322" s="231">
        <v>125363.01999999769</v>
      </c>
      <c r="F322" s="232">
        <v>1889602.3746859678</v>
      </c>
      <c r="G322" s="232">
        <v>1354000</v>
      </c>
      <c r="H322" s="232">
        <v>1909000</v>
      </c>
      <c r="I322" s="232">
        <v>671000</v>
      </c>
      <c r="J322" s="232">
        <v>264000</v>
      </c>
      <c r="K322" s="232">
        <v>0</v>
      </c>
      <c r="L322" s="232">
        <v>180000</v>
      </c>
      <c r="M322" s="232">
        <v>46000</v>
      </c>
      <c r="N322" s="232"/>
      <c r="O322" s="232"/>
    </row>
    <row r="323" spans="1:15" x14ac:dyDescent="0.2">
      <c r="A323" t="s">
        <v>294</v>
      </c>
      <c r="B323" s="231">
        <v>23269349.095365189</v>
      </c>
      <c r="C323" s="231">
        <v>2575250</v>
      </c>
      <c r="D323" s="231">
        <v>24724830</v>
      </c>
      <c r="E323" s="231">
        <v>192323.75999999791</v>
      </c>
      <c r="F323" s="232">
        <v>6379269.2416541874</v>
      </c>
      <c r="G323" s="232">
        <v>2383000</v>
      </c>
      <c r="H323" s="232">
        <v>3030000</v>
      </c>
      <c r="I323" s="232">
        <v>540000</v>
      </c>
      <c r="J323" s="232">
        <v>518000</v>
      </c>
      <c r="K323" s="232">
        <v>580000</v>
      </c>
      <c r="L323" s="232">
        <v>50000</v>
      </c>
      <c r="M323" s="232">
        <v>5000</v>
      </c>
      <c r="N323" s="232"/>
      <c r="O323" s="232"/>
    </row>
    <row r="324" spans="1:15" x14ac:dyDescent="0.2">
      <c r="A324" t="s">
        <v>225</v>
      </c>
      <c r="B324" s="231">
        <v>21452161.756204884</v>
      </c>
      <c r="C324" s="231">
        <v>2598574</v>
      </c>
      <c r="D324" s="231">
        <v>13572997</v>
      </c>
      <c r="E324" s="231">
        <v>142581.42000000551</v>
      </c>
      <c r="F324" s="232">
        <v>4978798.2674030671</v>
      </c>
      <c r="G324" s="232">
        <v>3112000</v>
      </c>
      <c r="H324" s="232">
        <v>3109000</v>
      </c>
      <c r="I324" s="232">
        <v>741000</v>
      </c>
      <c r="J324" s="232">
        <v>577000</v>
      </c>
      <c r="K324" s="232">
        <v>472000</v>
      </c>
      <c r="L324" s="232">
        <v>338000</v>
      </c>
      <c r="M324" s="232">
        <v>56000</v>
      </c>
      <c r="N324" s="232"/>
      <c r="O324" s="232"/>
    </row>
    <row r="325" spans="1:15" x14ac:dyDescent="0.2">
      <c r="A325" t="s">
        <v>271</v>
      </c>
      <c r="B325" s="231">
        <v>24331098.695626937</v>
      </c>
      <c r="C325" s="231">
        <v>2611742</v>
      </c>
      <c r="D325" s="231">
        <v>16934842</v>
      </c>
      <c r="E325" s="231">
        <v>340853.58000000566</v>
      </c>
      <c r="F325" s="232">
        <v>7418958.3976948392</v>
      </c>
      <c r="G325" s="232">
        <v>2271000</v>
      </c>
      <c r="H325" s="232">
        <v>2258000</v>
      </c>
      <c r="I325" s="232">
        <v>421000</v>
      </c>
      <c r="J325" s="232">
        <v>416000</v>
      </c>
      <c r="K325" s="232">
        <v>13000</v>
      </c>
      <c r="L325" s="232">
        <v>314000</v>
      </c>
      <c r="M325" s="232"/>
      <c r="N325" s="232"/>
      <c r="O325" s="232"/>
    </row>
    <row r="326" spans="1:15" x14ac:dyDescent="0.2">
      <c r="A326" t="s">
        <v>563</v>
      </c>
      <c r="B326" s="231">
        <v>30704726.483766764</v>
      </c>
      <c r="C326" s="231">
        <v>3068205</v>
      </c>
      <c r="D326" s="231">
        <v>25453384</v>
      </c>
      <c r="E326" s="231">
        <v>296157.06000000238</v>
      </c>
      <c r="F326" s="232">
        <v>8003006.5427937126</v>
      </c>
      <c r="G326" s="232">
        <v>5075000</v>
      </c>
      <c r="H326" s="232">
        <v>4101000</v>
      </c>
      <c r="I326" s="232">
        <v>1025000</v>
      </c>
      <c r="J326" s="232">
        <v>661000</v>
      </c>
      <c r="K326" s="232">
        <v>311000</v>
      </c>
      <c r="L326" s="232"/>
      <c r="M326" s="232"/>
      <c r="N326" s="232">
        <v>226000</v>
      </c>
      <c r="O326" s="232">
        <v>2844000</v>
      </c>
    </row>
    <row r="327" spans="1:15" x14ac:dyDescent="0.2">
      <c r="A327" t="s">
        <v>422</v>
      </c>
      <c r="B327" s="231">
        <v>8273493.015376443</v>
      </c>
      <c r="C327" s="231">
        <v>621851</v>
      </c>
      <c r="D327" s="231">
        <v>3566561</v>
      </c>
      <c r="E327" s="231">
        <v>50189.259999999776</v>
      </c>
      <c r="F327" s="232">
        <v>1440293.4693183603</v>
      </c>
      <c r="G327" s="232">
        <v>1180000</v>
      </c>
      <c r="H327" s="232">
        <v>857000</v>
      </c>
      <c r="I327" s="232">
        <v>150000</v>
      </c>
      <c r="J327" s="232">
        <v>204000</v>
      </c>
      <c r="K327" s="232">
        <v>8000</v>
      </c>
      <c r="L327" s="232">
        <v>24000</v>
      </c>
      <c r="M327" s="232">
        <v>6000</v>
      </c>
      <c r="N327" s="232"/>
      <c r="O327" s="232"/>
    </row>
    <row r="328" spans="1:15" x14ac:dyDescent="0.2">
      <c r="A328" t="s">
        <v>423</v>
      </c>
      <c r="B328" s="231">
        <v>20733155.5766146</v>
      </c>
      <c r="C328" s="231">
        <v>1858297</v>
      </c>
      <c r="D328" s="231">
        <v>10489476</v>
      </c>
      <c r="E328" s="231">
        <v>99027.039999999106</v>
      </c>
      <c r="F328" s="232">
        <v>4213414.5025085295</v>
      </c>
      <c r="G328" s="232">
        <v>3355000</v>
      </c>
      <c r="H328" s="232">
        <v>3098000</v>
      </c>
      <c r="I328" s="232">
        <v>802000</v>
      </c>
      <c r="J328" s="232">
        <v>525000</v>
      </c>
      <c r="K328" s="232">
        <v>305000</v>
      </c>
      <c r="L328" s="232"/>
      <c r="M328" s="232">
        <v>12000</v>
      </c>
      <c r="N328" s="232"/>
      <c r="O328" s="232"/>
    </row>
    <row r="329" spans="1:15" x14ac:dyDescent="0.2">
      <c r="A329" t="s">
        <v>610</v>
      </c>
      <c r="B329" s="231">
        <v>12588399.170061922</v>
      </c>
      <c r="C329" s="231">
        <v>619990</v>
      </c>
      <c r="D329" s="231">
        <v>9692078</v>
      </c>
      <c r="E329" s="231">
        <v>91977.51999999769</v>
      </c>
      <c r="F329" s="232">
        <v>1477194.6124147554</v>
      </c>
      <c r="G329" s="232">
        <v>1355000</v>
      </c>
      <c r="H329" s="232">
        <v>1758000</v>
      </c>
      <c r="I329" s="232">
        <v>363000</v>
      </c>
      <c r="J329" s="232">
        <v>281000</v>
      </c>
      <c r="K329" s="232">
        <v>228000</v>
      </c>
      <c r="L329" s="232">
        <v>29000</v>
      </c>
      <c r="M329" s="232"/>
      <c r="N329" s="232"/>
      <c r="O329" s="232"/>
    </row>
    <row r="330" spans="1:15" x14ac:dyDescent="0.2">
      <c r="A330" t="s">
        <v>372</v>
      </c>
      <c r="B330" s="231">
        <v>362774903.60580957</v>
      </c>
      <c r="C330" s="231">
        <v>15998250</v>
      </c>
      <c r="D330" s="231">
        <v>212208594</v>
      </c>
      <c r="E330" s="231">
        <v>35222606.199999928</v>
      </c>
      <c r="F330" s="232">
        <v>119435231.21464637</v>
      </c>
      <c r="G330" s="232">
        <v>31790000</v>
      </c>
      <c r="H330" s="232">
        <v>36080000</v>
      </c>
      <c r="I330" s="232">
        <v>12598000</v>
      </c>
      <c r="J330" s="232">
        <v>6285000</v>
      </c>
      <c r="K330" s="232">
        <v>1067000</v>
      </c>
      <c r="L330" s="232">
        <v>1586000</v>
      </c>
      <c r="M330" s="232"/>
      <c r="N330" s="232"/>
      <c r="O330" s="232">
        <v>28514000</v>
      </c>
    </row>
    <row r="331" spans="1:15" x14ac:dyDescent="0.2">
      <c r="A331" t="s">
        <v>373</v>
      </c>
      <c r="B331" s="231">
        <v>31269633.795193616</v>
      </c>
      <c r="C331" s="231">
        <v>3622724</v>
      </c>
      <c r="D331" s="231">
        <v>20386621</v>
      </c>
      <c r="E331" s="231">
        <v>229278.80000000075</v>
      </c>
      <c r="F331" s="232">
        <v>6270273.6320473701</v>
      </c>
      <c r="G331" s="232">
        <v>3181000</v>
      </c>
      <c r="H331" s="232">
        <v>4785000</v>
      </c>
      <c r="I331" s="232">
        <v>1604000</v>
      </c>
      <c r="J331" s="232">
        <v>971000</v>
      </c>
      <c r="K331" s="232">
        <v>767000</v>
      </c>
      <c r="L331" s="232">
        <v>534000</v>
      </c>
      <c r="M331" s="232">
        <v>200000</v>
      </c>
      <c r="N331" s="232"/>
      <c r="O331" s="232"/>
    </row>
    <row r="332" spans="1:15" x14ac:dyDescent="0.2">
      <c r="A332" t="s">
        <v>600</v>
      </c>
      <c r="B332" s="231">
        <v>8570430.8576954678</v>
      </c>
      <c r="C332" s="231">
        <v>1041813</v>
      </c>
      <c r="D332" s="231">
        <v>5703792</v>
      </c>
      <c r="E332" s="231">
        <v>87228.320000000298</v>
      </c>
      <c r="F332" s="232">
        <v>4451121.7728591664</v>
      </c>
      <c r="G332" s="232">
        <v>1090000</v>
      </c>
      <c r="H332" s="232">
        <v>1197000</v>
      </c>
      <c r="I332" s="232">
        <v>112000</v>
      </c>
      <c r="J332" s="232">
        <v>188000</v>
      </c>
      <c r="K332" s="232">
        <v>0</v>
      </c>
      <c r="L332" s="232">
        <v>800000</v>
      </c>
      <c r="M332" s="232">
        <v>12000</v>
      </c>
      <c r="N332" s="232">
        <v>33000</v>
      </c>
      <c r="O332" s="232">
        <v>780000</v>
      </c>
    </row>
    <row r="333" spans="1:15" x14ac:dyDescent="0.2">
      <c r="A333" t="s">
        <v>601</v>
      </c>
      <c r="B333" s="231">
        <v>13079267.738522545</v>
      </c>
      <c r="C333" s="231">
        <v>1750930</v>
      </c>
      <c r="D333" s="231">
        <v>9011077</v>
      </c>
      <c r="E333" s="231">
        <v>116528.07999999821</v>
      </c>
      <c r="F333" s="232">
        <v>4462842.851931219</v>
      </c>
      <c r="G333" s="232">
        <v>885000</v>
      </c>
      <c r="H333" s="232">
        <v>2627000</v>
      </c>
      <c r="I333" s="232">
        <v>220000</v>
      </c>
      <c r="J333" s="232">
        <v>315000</v>
      </c>
      <c r="K333" s="232">
        <v>123000</v>
      </c>
      <c r="L333" s="232">
        <v>1969000</v>
      </c>
      <c r="M333" s="232"/>
      <c r="N333" s="232">
        <v>146000</v>
      </c>
      <c r="O333" s="232">
        <v>2764000</v>
      </c>
    </row>
    <row r="334" spans="1:15" x14ac:dyDescent="0.2">
      <c r="A334" t="s">
        <v>564</v>
      </c>
      <c r="B334" s="231">
        <v>22383490.060962122</v>
      </c>
      <c r="C334" s="231">
        <v>2775504</v>
      </c>
      <c r="D334" s="231">
        <v>12556462</v>
      </c>
      <c r="E334" s="231">
        <v>72375.959999997169</v>
      </c>
      <c r="F334" s="232">
        <v>6454286.9692111118</v>
      </c>
      <c r="G334" s="232">
        <v>3320000</v>
      </c>
      <c r="H334" s="232">
        <v>3076000</v>
      </c>
      <c r="I334" s="232">
        <v>500000</v>
      </c>
      <c r="J334" s="232">
        <v>463000</v>
      </c>
      <c r="K334" s="232">
        <v>157000</v>
      </c>
      <c r="L334" s="232">
        <v>70000</v>
      </c>
      <c r="M334" s="232"/>
      <c r="N334" s="232"/>
      <c r="O334" s="232">
        <v>1352000</v>
      </c>
    </row>
    <row r="335" spans="1:15" x14ac:dyDescent="0.2">
      <c r="A335" t="s">
        <v>248</v>
      </c>
      <c r="B335" s="231">
        <v>25459104.970786981</v>
      </c>
      <c r="C335" s="231">
        <v>2876216</v>
      </c>
      <c r="D335" s="231">
        <v>28906376</v>
      </c>
      <c r="E335" s="231">
        <v>344646.88000000268</v>
      </c>
      <c r="F335" s="232">
        <v>11679890.326089879</v>
      </c>
      <c r="G335" s="232">
        <v>3732000</v>
      </c>
      <c r="H335" s="232">
        <v>3062000</v>
      </c>
      <c r="I335" s="232">
        <v>442000</v>
      </c>
      <c r="J335" s="232">
        <v>464000</v>
      </c>
      <c r="K335" s="232">
        <v>188000</v>
      </c>
      <c r="L335" s="232"/>
      <c r="M335" s="232"/>
      <c r="N335" s="232">
        <v>93000</v>
      </c>
      <c r="O335" s="232"/>
    </row>
    <row r="336" spans="1:15" x14ac:dyDescent="0.2">
      <c r="A336" t="s">
        <v>374</v>
      </c>
      <c r="B336" s="231">
        <v>50406517.133728832</v>
      </c>
      <c r="C336" s="231">
        <v>4449074</v>
      </c>
      <c r="D336" s="231">
        <v>35394471</v>
      </c>
      <c r="E336" s="231">
        <v>234535.47999998927</v>
      </c>
      <c r="F336" s="232">
        <v>16177971.243927464</v>
      </c>
      <c r="G336" s="232">
        <v>6033000</v>
      </c>
      <c r="H336" s="232">
        <v>2287000</v>
      </c>
      <c r="I336" s="232">
        <v>1600000</v>
      </c>
      <c r="J336" s="232">
        <v>836000</v>
      </c>
      <c r="K336" s="232">
        <v>417000</v>
      </c>
      <c r="L336" s="232">
        <v>23000</v>
      </c>
      <c r="M336" s="232"/>
      <c r="N336" s="232">
        <v>500000</v>
      </c>
      <c r="O336" s="232">
        <v>2469000</v>
      </c>
    </row>
    <row r="337" spans="1:15" x14ac:dyDescent="0.2">
      <c r="A337" t="s">
        <v>507</v>
      </c>
      <c r="B337" s="231">
        <v>14111430.174782351</v>
      </c>
      <c r="C337" s="231">
        <v>1502877</v>
      </c>
      <c r="D337" s="231">
        <v>7556378</v>
      </c>
      <c r="E337" s="231">
        <v>229237.25999999791</v>
      </c>
      <c r="F337" s="232">
        <v>2219607.5807263688</v>
      </c>
      <c r="G337" s="232">
        <v>3149000</v>
      </c>
      <c r="H337" s="232">
        <v>2044000</v>
      </c>
      <c r="I337" s="232">
        <v>785000</v>
      </c>
      <c r="J337" s="232">
        <v>376000</v>
      </c>
      <c r="K337" s="232">
        <v>407000</v>
      </c>
      <c r="L337" s="232">
        <v>4290000</v>
      </c>
      <c r="M337" s="232">
        <v>1686000</v>
      </c>
      <c r="N337" s="232"/>
      <c r="O337" s="232">
        <v>1316000</v>
      </c>
    </row>
    <row r="338" spans="1:15" x14ac:dyDescent="0.2">
      <c r="A338" t="s">
        <v>565</v>
      </c>
      <c r="B338" s="231">
        <v>26070052.538151264</v>
      </c>
      <c r="C338" s="231">
        <v>2490355</v>
      </c>
      <c r="D338" s="231">
        <v>20418574</v>
      </c>
      <c r="E338" s="231">
        <v>253311.71999999881</v>
      </c>
      <c r="F338" s="232">
        <v>5001719.1527320175</v>
      </c>
      <c r="G338" s="232">
        <v>3649000</v>
      </c>
      <c r="H338" s="232">
        <v>3821000</v>
      </c>
      <c r="I338" s="232">
        <v>701000</v>
      </c>
      <c r="J338" s="232">
        <v>701000</v>
      </c>
      <c r="K338" s="232">
        <v>105000</v>
      </c>
      <c r="L338" s="232">
        <v>200000</v>
      </c>
      <c r="M338" s="232"/>
      <c r="N338" s="232">
        <v>109000</v>
      </c>
      <c r="O338" s="232">
        <v>509000</v>
      </c>
    </row>
    <row r="339" spans="1:15" x14ac:dyDescent="0.2">
      <c r="A339" t="s">
        <v>566</v>
      </c>
      <c r="B339" s="231">
        <v>28874749.998035382</v>
      </c>
      <c r="C339" s="231">
        <v>3328693</v>
      </c>
      <c r="D339" s="231">
        <v>19334771</v>
      </c>
      <c r="E339" s="231">
        <v>169640.64999999478</v>
      </c>
      <c r="F339" s="232">
        <v>6659075.314741753</v>
      </c>
      <c r="G339" s="232">
        <v>3585000</v>
      </c>
      <c r="H339" s="232">
        <v>4196000</v>
      </c>
      <c r="I339" s="232">
        <v>926000</v>
      </c>
      <c r="J339" s="232">
        <v>807000</v>
      </c>
      <c r="K339" s="232">
        <v>131000</v>
      </c>
      <c r="L339" s="232">
        <v>167000</v>
      </c>
      <c r="M339" s="232"/>
      <c r="N339" s="232">
        <v>33000</v>
      </c>
      <c r="O339" s="232">
        <v>1541000</v>
      </c>
    </row>
    <row r="340" spans="1:15" x14ac:dyDescent="0.2">
      <c r="A340" t="s">
        <v>424</v>
      </c>
      <c r="B340" s="231">
        <v>50558990.238023281</v>
      </c>
      <c r="C340" s="231">
        <v>5342081</v>
      </c>
      <c r="D340" s="231">
        <v>32060217</v>
      </c>
      <c r="E340" s="231">
        <v>305778.28000000119</v>
      </c>
      <c r="F340" s="232">
        <v>16229235.991135873</v>
      </c>
      <c r="G340" s="232">
        <v>10074000</v>
      </c>
      <c r="H340" s="232">
        <v>6356000</v>
      </c>
      <c r="I340" s="232">
        <v>1084000</v>
      </c>
      <c r="J340" s="232">
        <v>1499000</v>
      </c>
      <c r="K340" s="232">
        <v>284000</v>
      </c>
      <c r="L340" s="232">
        <v>258000</v>
      </c>
      <c r="M340" s="232"/>
      <c r="N340" s="232"/>
      <c r="O340" s="232">
        <v>394000</v>
      </c>
    </row>
    <row r="341" spans="1:15" x14ac:dyDescent="0.2">
      <c r="A341" t="s">
        <v>602</v>
      </c>
      <c r="B341" s="231">
        <v>87416594.311963379</v>
      </c>
      <c r="C341" s="231">
        <v>9665322</v>
      </c>
      <c r="D341" s="231">
        <v>106841130</v>
      </c>
      <c r="E341" s="231">
        <v>12187633.900000006</v>
      </c>
      <c r="F341" s="232">
        <v>39024069.026583917</v>
      </c>
      <c r="G341" s="232">
        <v>8356000</v>
      </c>
      <c r="H341" s="232">
        <v>8247000</v>
      </c>
      <c r="I341" s="232">
        <v>3899000</v>
      </c>
      <c r="J341" s="232">
        <v>1793000</v>
      </c>
      <c r="K341" s="232">
        <v>440000</v>
      </c>
      <c r="L341" s="232">
        <v>1158000</v>
      </c>
      <c r="M341" s="232"/>
      <c r="N341" s="232">
        <v>363000</v>
      </c>
      <c r="O341" s="232">
        <v>7229000</v>
      </c>
    </row>
    <row r="342" spans="1:15" x14ac:dyDescent="0.2">
      <c r="A342" t="s">
        <v>603</v>
      </c>
      <c r="B342" s="231">
        <v>32926237.863013688</v>
      </c>
      <c r="C342" s="231">
        <v>3276966</v>
      </c>
      <c r="D342" s="231">
        <v>27232601</v>
      </c>
      <c r="E342" s="231">
        <v>490871.90000000224</v>
      </c>
      <c r="F342" s="232">
        <v>9814169.608308211</v>
      </c>
      <c r="G342" s="232">
        <v>3578000</v>
      </c>
      <c r="H342" s="232">
        <v>4095000</v>
      </c>
      <c r="I342" s="232">
        <v>1207000</v>
      </c>
      <c r="J342" s="232">
        <v>652000</v>
      </c>
      <c r="K342" s="232">
        <v>124000</v>
      </c>
      <c r="L342" s="232">
        <v>437000</v>
      </c>
      <c r="M342" s="232"/>
      <c r="N342" s="232">
        <v>125000</v>
      </c>
      <c r="O342" s="232">
        <v>1811000</v>
      </c>
    </row>
    <row r="343" spans="1:15" x14ac:dyDescent="0.2">
      <c r="A343" t="s">
        <v>375</v>
      </c>
      <c r="B343" s="231">
        <v>13288953.565525381</v>
      </c>
      <c r="C343" s="231">
        <v>1268258</v>
      </c>
      <c r="D343" s="231">
        <v>6551300</v>
      </c>
      <c r="E343" s="231">
        <v>187340.91999999993</v>
      </c>
      <c r="F343" s="232">
        <v>3371434.6945133223</v>
      </c>
      <c r="G343" s="232">
        <v>1733000</v>
      </c>
      <c r="H343" s="232">
        <v>2139000</v>
      </c>
      <c r="I343" s="232">
        <v>653000</v>
      </c>
      <c r="J343" s="232">
        <v>377000</v>
      </c>
      <c r="K343" s="232">
        <v>211000</v>
      </c>
      <c r="L343" s="232">
        <v>103000</v>
      </c>
      <c r="M343" s="232"/>
      <c r="N343" s="232"/>
      <c r="O343" s="232">
        <v>8000</v>
      </c>
    </row>
    <row r="344" spans="1:15" x14ac:dyDescent="0.2">
      <c r="A344" t="s">
        <v>484</v>
      </c>
      <c r="B344" s="231">
        <v>69825850.098806366</v>
      </c>
      <c r="C344" s="231">
        <v>6689596</v>
      </c>
      <c r="D344" s="231">
        <v>51624436</v>
      </c>
      <c r="E344" s="231">
        <v>3726044.0600000024</v>
      </c>
      <c r="F344" s="232">
        <v>33748767.72444769</v>
      </c>
      <c r="G344" s="232">
        <v>8977000</v>
      </c>
      <c r="H344" s="232">
        <v>5939000</v>
      </c>
      <c r="I344" s="232">
        <v>1464000</v>
      </c>
      <c r="J344" s="232">
        <v>1016000</v>
      </c>
      <c r="K344" s="232">
        <v>849000</v>
      </c>
      <c r="L344" s="232">
        <v>153000</v>
      </c>
      <c r="M344" s="232"/>
      <c r="N344" s="232"/>
      <c r="O344" s="232">
        <v>1618000</v>
      </c>
    </row>
    <row r="345" spans="1:15" x14ac:dyDescent="0.2">
      <c r="A345" t="s">
        <v>249</v>
      </c>
      <c r="B345" s="231">
        <v>14196701.860519078</v>
      </c>
      <c r="C345" s="231">
        <v>1939664</v>
      </c>
      <c r="D345" s="231">
        <v>15068341</v>
      </c>
      <c r="E345" s="231">
        <v>230960.19999999925</v>
      </c>
      <c r="F345" s="232">
        <v>2635007.8492289493</v>
      </c>
      <c r="G345" s="232">
        <v>1845000</v>
      </c>
      <c r="H345" s="232">
        <v>2554000</v>
      </c>
      <c r="I345" s="232">
        <v>150000</v>
      </c>
      <c r="J345" s="232">
        <v>258000</v>
      </c>
      <c r="K345" s="232">
        <v>50000</v>
      </c>
      <c r="L345" s="232">
        <v>120000</v>
      </c>
      <c r="M345" s="232">
        <v>20000</v>
      </c>
      <c r="N345" s="232"/>
      <c r="O345" s="232"/>
    </row>
    <row r="346" spans="1:15" x14ac:dyDescent="0.2">
      <c r="A346" t="s">
        <v>272</v>
      </c>
      <c r="B346" s="231">
        <v>2220456.8617449952</v>
      </c>
      <c r="C346" s="231">
        <v>93682</v>
      </c>
      <c r="D346" s="231">
        <v>287006</v>
      </c>
      <c r="E346" s="231">
        <v>19494.799999999814</v>
      </c>
      <c r="F346" s="232">
        <v>90677.449979186786</v>
      </c>
      <c r="G346" s="232">
        <v>426000</v>
      </c>
      <c r="H346" s="232">
        <v>244000</v>
      </c>
      <c r="I346" s="232">
        <v>52000</v>
      </c>
      <c r="J346" s="232">
        <v>95000</v>
      </c>
      <c r="K346" s="232">
        <v>15000</v>
      </c>
      <c r="L346" s="232">
        <v>1058000</v>
      </c>
      <c r="M346" s="232">
        <v>108000</v>
      </c>
      <c r="N346" s="232"/>
      <c r="O346" s="232"/>
    </row>
    <row r="347" spans="1:15" x14ac:dyDescent="0.2">
      <c r="A347" t="s">
        <v>508</v>
      </c>
      <c r="B347" s="231">
        <v>43282912.057908326</v>
      </c>
      <c r="C347" s="231">
        <v>4390243</v>
      </c>
      <c r="D347" s="231">
        <v>59608469</v>
      </c>
      <c r="E347" s="231">
        <v>10471155.960000008</v>
      </c>
      <c r="F347" s="232">
        <v>22545312.366111815</v>
      </c>
      <c r="G347" s="232">
        <v>6896000</v>
      </c>
      <c r="H347" s="232">
        <v>4638000</v>
      </c>
      <c r="I347" s="232">
        <v>799000</v>
      </c>
      <c r="J347" s="232">
        <v>729000</v>
      </c>
      <c r="K347" s="232">
        <v>361000</v>
      </c>
      <c r="L347" s="232">
        <v>204000</v>
      </c>
      <c r="M347" s="232">
        <v>134000</v>
      </c>
      <c r="N347" s="232"/>
      <c r="O347" s="232">
        <v>3067000</v>
      </c>
    </row>
    <row r="348" spans="1:15" x14ac:dyDescent="0.2">
      <c r="A348" t="s">
        <v>604</v>
      </c>
      <c r="B348" s="231">
        <v>8242004.3028323883</v>
      </c>
      <c r="C348" s="231">
        <v>1055942</v>
      </c>
      <c r="D348" s="231">
        <v>6876220</v>
      </c>
      <c r="E348" s="231">
        <v>45316.159999999218</v>
      </c>
      <c r="F348" s="232">
        <v>2202717.9535645866</v>
      </c>
      <c r="G348" s="232">
        <v>998000</v>
      </c>
      <c r="H348" s="232">
        <v>1212000</v>
      </c>
      <c r="I348" s="232">
        <v>155000</v>
      </c>
      <c r="J348" s="232">
        <v>211000</v>
      </c>
      <c r="K348" s="232">
        <v>40000</v>
      </c>
      <c r="L348" s="232">
        <v>30000</v>
      </c>
      <c r="M348" s="232"/>
      <c r="N348" s="232"/>
      <c r="O348" s="232"/>
    </row>
    <row r="349" spans="1:15" x14ac:dyDescent="0.2">
      <c r="A349" t="s">
        <v>486</v>
      </c>
      <c r="B349" s="231">
        <v>15941064.806457903</v>
      </c>
      <c r="C349" s="231">
        <v>1564323</v>
      </c>
      <c r="D349" s="231">
        <v>8254006</v>
      </c>
      <c r="E349" s="231">
        <v>49397.300000000745</v>
      </c>
      <c r="F349" s="232">
        <v>4158596.1698501343</v>
      </c>
      <c r="G349" s="232">
        <v>3040000</v>
      </c>
      <c r="H349" s="232">
        <v>2269000</v>
      </c>
      <c r="I349" s="232">
        <v>237000</v>
      </c>
      <c r="J349" s="232">
        <v>440000</v>
      </c>
      <c r="K349" s="232">
        <v>300000</v>
      </c>
      <c r="L349" s="232">
        <v>66000</v>
      </c>
      <c r="M349" s="232"/>
      <c r="N349" s="232">
        <v>100000</v>
      </c>
      <c r="O349" s="232"/>
    </row>
    <row r="350" spans="1:15" x14ac:dyDescent="0.2">
      <c r="A350" t="s">
        <v>345</v>
      </c>
      <c r="B350" s="231">
        <v>15650325.704556828</v>
      </c>
      <c r="C350" s="231">
        <v>1978016</v>
      </c>
      <c r="D350" s="231">
        <v>10393201</v>
      </c>
      <c r="E350" s="231">
        <v>136325.43999999948</v>
      </c>
      <c r="F350" s="232">
        <v>3118986.2973264209</v>
      </c>
      <c r="G350" s="232">
        <v>1926000</v>
      </c>
      <c r="H350" s="232">
        <v>3176000</v>
      </c>
      <c r="I350" s="232">
        <v>759000</v>
      </c>
      <c r="J350" s="232">
        <v>356000</v>
      </c>
      <c r="K350" s="232">
        <v>194000</v>
      </c>
      <c r="L350" s="232">
        <v>109000</v>
      </c>
      <c r="M350" s="232"/>
      <c r="N350" s="232">
        <v>106000</v>
      </c>
      <c r="O350" s="232"/>
    </row>
    <row r="351" spans="1:15" x14ac:dyDescent="0.2">
      <c r="A351" t="s">
        <v>567</v>
      </c>
      <c r="B351" s="231">
        <v>17810579.83394118</v>
      </c>
      <c r="C351" s="231">
        <v>1943220</v>
      </c>
      <c r="D351" s="231">
        <v>13300828</v>
      </c>
      <c r="E351" s="231">
        <v>59503.179999999702</v>
      </c>
      <c r="F351" s="232">
        <v>3401631.2016891683</v>
      </c>
      <c r="G351" s="232">
        <v>2272000</v>
      </c>
      <c r="H351" s="232">
        <v>3680000</v>
      </c>
      <c r="I351" s="232">
        <v>747000</v>
      </c>
      <c r="J351" s="232">
        <v>449000</v>
      </c>
      <c r="K351" s="232">
        <v>12000</v>
      </c>
      <c r="L351" s="232">
        <v>200000</v>
      </c>
      <c r="M351" s="232"/>
      <c r="N351" s="232">
        <v>46000</v>
      </c>
      <c r="O351" s="232"/>
    </row>
    <row r="352" spans="1:15" x14ac:dyDescent="0.2">
      <c r="A352" t="s">
        <v>568</v>
      </c>
      <c r="B352" s="231">
        <v>9706432.3633877076</v>
      </c>
      <c r="C352" s="231">
        <v>1120954</v>
      </c>
      <c r="D352" s="231">
        <v>5789299</v>
      </c>
      <c r="E352" s="231">
        <v>58043.719999998808</v>
      </c>
      <c r="F352" s="232">
        <v>2163659.6230892022</v>
      </c>
      <c r="G352" s="232">
        <v>1431000</v>
      </c>
      <c r="H352" s="232">
        <v>1301000</v>
      </c>
      <c r="I352" s="232">
        <v>445000</v>
      </c>
      <c r="J352" s="232">
        <v>299000</v>
      </c>
      <c r="K352" s="232">
        <v>85000</v>
      </c>
      <c r="L352" s="232"/>
      <c r="M352" s="232"/>
      <c r="N352" s="232"/>
      <c r="O352" s="232"/>
    </row>
    <row r="353" spans="1:15" x14ac:dyDescent="0.2">
      <c r="A353" t="s">
        <v>569</v>
      </c>
      <c r="B353" s="231">
        <v>34724126.444613762</v>
      </c>
      <c r="C353" s="231">
        <v>3889094</v>
      </c>
      <c r="D353" s="231">
        <v>22570150</v>
      </c>
      <c r="E353" s="231">
        <v>489047</v>
      </c>
      <c r="F353" s="232">
        <v>10154364.11266133</v>
      </c>
      <c r="G353" s="232">
        <v>4223000</v>
      </c>
      <c r="H353" s="232">
        <v>2887000</v>
      </c>
      <c r="I353" s="232">
        <v>1017000</v>
      </c>
      <c r="J353" s="232">
        <v>679000</v>
      </c>
      <c r="K353" s="232">
        <v>367000</v>
      </c>
      <c r="L353" s="232">
        <v>119000</v>
      </c>
      <c r="M353" s="232">
        <v>14000</v>
      </c>
      <c r="N353" s="232">
        <v>100000</v>
      </c>
      <c r="O353" s="232">
        <v>2130000</v>
      </c>
    </row>
    <row r="354" spans="1:15" x14ac:dyDescent="0.2">
      <c r="A354" t="s">
        <v>487</v>
      </c>
      <c r="B354" s="231">
        <v>18289765.519456416</v>
      </c>
      <c r="C354" s="231">
        <v>1804479</v>
      </c>
      <c r="D354" s="231">
        <v>11115305</v>
      </c>
      <c r="E354" s="231">
        <v>78621.780000001192</v>
      </c>
      <c r="F354" s="232">
        <v>3677962.6224457128</v>
      </c>
      <c r="G354" s="232">
        <v>2944000</v>
      </c>
      <c r="H354" s="232">
        <v>2460000</v>
      </c>
      <c r="I354" s="232">
        <v>534000</v>
      </c>
      <c r="J354" s="232">
        <v>518000</v>
      </c>
      <c r="K354" s="232">
        <v>391000</v>
      </c>
      <c r="L354" s="232">
        <v>16000</v>
      </c>
      <c r="M354" s="232"/>
      <c r="N354" s="232">
        <v>7000</v>
      </c>
      <c r="O354" s="232"/>
    </row>
    <row r="355" spans="1:15" x14ac:dyDescent="0.2">
      <c r="A355" t="s">
        <v>346</v>
      </c>
      <c r="B355" s="231">
        <v>28519843.201324195</v>
      </c>
      <c r="C355" s="231">
        <v>2064228</v>
      </c>
      <c r="D355" s="231">
        <v>16147845</v>
      </c>
      <c r="E355" s="231">
        <v>148545.29999999702</v>
      </c>
      <c r="F355" s="232">
        <v>9325193.1985500511</v>
      </c>
      <c r="G355" s="232">
        <v>3643000</v>
      </c>
      <c r="H355" s="232">
        <v>2718000</v>
      </c>
      <c r="I355" s="232">
        <v>851000</v>
      </c>
      <c r="J355" s="232">
        <v>520000</v>
      </c>
      <c r="K355" s="232">
        <v>562000</v>
      </c>
      <c r="L355" s="232">
        <v>128000</v>
      </c>
      <c r="M355" s="232"/>
      <c r="N355" s="232">
        <v>115000</v>
      </c>
      <c r="O355" s="232">
        <v>1047000</v>
      </c>
    </row>
    <row r="356" spans="1:15" x14ac:dyDescent="0.2">
      <c r="A356" t="s">
        <v>488</v>
      </c>
      <c r="B356" s="231">
        <v>15511859.526422847</v>
      </c>
      <c r="C356" s="231">
        <v>1522684</v>
      </c>
      <c r="D356" s="231">
        <v>7540632</v>
      </c>
      <c r="E356" s="231">
        <v>103107.23999999836</v>
      </c>
      <c r="F356" s="232">
        <v>4309641.4731311575</v>
      </c>
      <c r="G356" s="232">
        <v>4787000</v>
      </c>
      <c r="H356" s="232">
        <v>2765000</v>
      </c>
      <c r="I356" s="232">
        <v>1194000</v>
      </c>
      <c r="J356" s="232">
        <v>645000</v>
      </c>
      <c r="K356" s="232">
        <v>48000</v>
      </c>
      <c r="L356" s="232">
        <v>838000</v>
      </c>
      <c r="M356" s="232"/>
      <c r="N356" s="232">
        <v>108000</v>
      </c>
      <c r="O356" s="232"/>
    </row>
    <row r="357" spans="1:15" x14ac:dyDescent="0.2">
      <c r="A357" t="s">
        <v>425</v>
      </c>
      <c r="B357" s="231">
        <v>11412139.459430717</v>
      </c>
      <c r="C357" s="231">
        <v>1102418</v>
      </c>
      <c r="D357" s="231">
        <v>4212029</v>
      </c>
      <c r="E357" s="231">
        <v>115731.24000000209</v>
      </c>
      <c r="F357" s="232">
        <v>1675664.3101951997</v>
      </c>
      <c r="G357" s="232">
        <v>1728000</v>
      </c>
      <c r="H357" s="232">
        <v>1598000</v>
      </c>
      <c r="I357" s="232">
        <v>585000</v>
      </c>
      <c r="J357" s="232">
        <v>331000</v>
      </c>
      <c r="K357" s="232">
        <v>223000</v>
      </c>
      <c r="L357" s="232">
        <v>452000</v>
      </c>
      <c r="M357" s="232">
        <v>16000</v>
      </c>
      <c r="N357" s="232"/>
      <c r="O357" s="232">
        <v>211000</v>
      </c>
    </row>
    <row r="358" spans="1:15" x14ac:dyDescent="0.2">
      <c r="A358" t="s">
        <v>605</v>
      </c>
      <c r="B358" s="231">
        <v>39341609.888002038</v>
      </c>
      <c r="C358" s="231">
        <v>4231635</v>
      </c>
      <c r="D358" s="231">
        <v>28813478</v>
      </c>
      <c r="E358" s="231">
        <v>325903.15999999642</v>
      </c>
      <c r="F358" s="232">
        <v>11521029.175439592</v>
      </c>
      <c r="G358" s="232">
        <v>5193000</v>
      </c>
      <c r="H358" s="232">
        <v>5986000</v>
      </c>
      <c r="I358" s="232">
        <v>933000</v>
      </c>
      <c r="J358" s="232">
        <v>807000</v>
      </c>
      <c r="K358" s="232">
        <v>13000</v>
      </c>
      <c r="L358" s="232">
        <v>805000</v>
      </c>
      <c r="M358" s="232"/>
      <c r="N358" s="232"/>
      <c r="O358" s="232">
        <v>2925000</v>
      </c>
    </row>
    <row r="359" spans="1:15" x14ac:dyDescent="0.2">
      <c r="A359" t="s">
        <v>426</v>
      </c>
      <c r="B359" s="231">
        <v>14678118.961886657</v>
      </c>
      <c r="C359" s="231">
        <v>1282655</v>
      </c>
      <c r="D359" s="231">
        <v>7216453</v>
      </c>
      <c r="E359" s="231">
        <v>41447.759999999776</v>
      </c>
      <c r="F359" s="232">
        <v>4532552.8302775631</v>
      </c>
      <c r="G359" s="232">
        <v>1715000</v>
      </c>
      <c r="H359" s="232">
        <v>2211000</v>
      </c>
      <c r="I359" s="232">
        <v>342000</v>
      </c>
      <c r="J359" s="232">
        <v>342000</v>
      </c>
      <c r="K359" s="232">
        <v>190000</v>
      </c>
      <c r="L359" s="232"/>
      <c r="M359" s="232"/>
      <c r="N359" s="232"/>
      <c r="O359" s="232">
        <v>290000</v>
      </c>
    </row>
    <row r="360" spans="1:15" x14ac:dyDescent="0.2">
      <c r="A360" t="s">
        <v>570</v>
      </c>
      <c r="B360" s="231">
        <v>17152405.701777816</v>
      </c>
      <c r="C360" s="231">
        <v>1736280</v>
      </c>
      <c r="D360" s="231">
        <v>9226276</v>
      </c>
      <c r="E360" s="231">
        <v>369444.76000000164</v>
      </c>
      <c r="F360" s="232">
        <v>2783176.3581663608</v>
      </c>
      <c r="G360" s="232">
        <v>2555000</v>
      </c>
      <c r="H360" s="232">
        <v>2812000</v>
      </c>
      <c r="I360" s="232">
        <v>806000</v>
      </c>
      <c r="J360" s="232">
        <v>339000</v>
      </c>
      <c r="K360" s="232">
        <v>267000</v>
      </c>
      <c r="L360" s="232">
        <v>101000</v>
      </c>
      <c r="M360" s="232"/>
      <c r="N360" s="232"/>
      <c r="O360" s="232"/>
    </row>
    <row r="361" spans="1:15" x14ac:dyDescent="0.2">
      <c r="A361" t="s">
        <v>347</v>
      </c>
      <c r="B361" s="231">
        <v>12500389.632311277</v>
      </c>
      <c r="C361" s="231">
        <v>1271292</v>
      </c>
      <c r="D361" s="231">
        <v>6739231</v>
      </c>
      <c r="E361" s="231">
        <v>176925.83999999985</v>
      </c>
      <c r="F361" s="232">
        <v>2617506.0186500908</v>
      </c>
      <c r="G361" s="232">
        <v>0</v>
      </c>
      <c r="H361" s="232">
        <v>1967000</v>
      </c>
      <c r="I361" s="232">
        <v>463000</v>
      </c>
      <c r="J361" s="232">
        <v>262000</v>
      </c>
      <c r="K361" s="232">
        <v>55000</v>
      </c>
      <c r="L361" s="232">
        <v>180000</v>
      </c>
      <c r="M361" s="232">
        <v>11000</v>
      </c>
      <c r="N361" s="232"/>
      <c r="O361" s="232"/>
    </row>
    <row r="362" spans="1:15" x14ac:dyDescent="0.2">
      <c r="A362" t="s">
        <v>226</v>
      </c>
      <c r="B362" s="231">
        <v>15229297.090489041</v>
      </c>
      <c r="C362" s="231">
        <v>1774670</v>
      </c>
      <c r="D362" s="231">
        <v>11037135</v>
      </c>
      <c r="E362" s="231">
        <v>157858.8200000003</v>
      </c>
      <c r="F362" s="232">
        <v>3545301.3965393314</v>
      </c>
      <c r="G362" s="232">
        <v>1916000</v>
      </c>
      <c r="H362" s="232">
        <v>2692000</v>
      </c>
      <c r="I362" s="232">
        <v>330000</v>
      </c>
      <c r="J362" s="232">
        <v>297000</v>
      </c>
      <c r="K362" s="232">
        <v>190000</v>
      </c>
      <c r="L362" s="232">
        <v>785000</v>
      </c>
      <c r="M362" s="232">
        <v>587000</v>
      </c>
      <c r="N362" s="232"/>
      <c r="O362" s="232"/>
    </row>
    <row r="363" spans="1:15" x14ac:dyDescent="0.2">
      <c r="A363" t="s">
        <v>348</v>
      </c>
      <c r="B363" s="231">
        <v>11229597.305486605</v>
      </c>
      <c r="C363" s="231">
        <v>1031267</v>
      </c>
      <c r="D363" s="231">
        <v>9101310</v>
      </c>
      <c r="E363" s="231">
        <v>67913.019999999553</v>
      </c>
      <c r="F363" s="232">
        <v>4943664.9398526102</v>
      </c>
      <c r="G363" s="232">
        <v>1401000</v>
      </c>
      <c r="H363" s="232">
        <v>1419000</v>
      </c>
      <c r="I363" s="232">
        <v>80000</v>
      </c>
      <c r="J363" s="232">
        <v>234000</v>
      </c>
      <c r="K363" s="232">
        <v>52000</v>
      </c>
      <c r="L363" s="232"/>
      <c r="M363" s="232"/>
      <c r="N363" s="232"/>
      <c r="O363" s="232"/>
    </row>
    <row r="364" spans="1:15" x14ac:dyDescent="0.2">
      <c r="A364" t="s">
        <v>489</v>
      </c>
      <c r="B364" s="231">
        <v>64285896.717402689</v>
      </c>
      <c r="C364" s="231">
        <v>6703553</v>
      </c>
      <c r="D364" s="231">
        <v>36771306</v>
      </c>
      <c r="E364" s="231">
        <v>473090.29999998957</v>
      </c>
      <c r="F364" s="232">
        <v>15774463.674770346</v>
      </c>
      <c r="G364" s="232">
        <v>8123000</v>
      </c>
      <c r="H364" s="232">
        <v>11136000</v>
      </c>
      <c r="I364" s="232">
        <v>1556000</v>
      </c>
      <c r="J364" s="232">
        <v>1636000</v>
      </c>
      <c r="K364" s="232">
        <v>1418000</v>
      </c>
      <c r="L364" s="232">
        <v>295000</v>
      </c>
      <c r="M364" s="232">
        <v>104000</v>
      </c>
      <c r="N364" s="232"/>
      <c r="O364" s="232"/>
    </row>
    <row r="365" spans="1:15" x14ac:dyDescent="0.2">
      <c r="A365" t="s">
        <v>273</v>
      </c>
      <c r="B365" s="231">
        <v>21802950.734990586</v>
      </c>
      <c r="C365" s="231">
        <v>2440166</v>
      </c>
      <c r="D365" s="231">
        <v>15862318</v>
      </c>
      <c r="E365" s="231">
        <v>333861.76000000164</v>
      </c>
      <c r="F365" s="232">
        <v>7062873.144010989</v>
      </c>
      <c r="G365" s="232">
        <v>2632000</v>
      </c>
      <c r="H365" s="232">
        <v>1683000</v>
      </c>
      <c r="I365" s="232">
        <v>533000</v>
      </c>
      <c r="J365" s="232">
        <v>465000</v>
      </c>
      <c r="K365" s="232">
        <v>132000</v>
      </c>
      <c r="L365" s="232">
        <v>60000</v>
      </c>
      <c r="M365" s="232">
        <v>47000</v>
      </c>
      <c r="N365" s="232"/>
      <c r="O365" s="232"/>
    </row>
    <row r="366" spans="1:15" x14ac:dyDescent="0.2">
      <c r="A366" t="s">
        <v>490</v>
      </c>
      <c r="B366" s="231">
        <v>9224242.6143560857</v>
      </c>
      <c r="C366" s="231">
        <v>971662</v>
      </c>
      <c r="D366" s="231">
        <v>4646420</v>
      </c>
      <c r="E366" s="231">
        <v>98078.220000000671</v>
      </c>
      <c r="F366" s="232">
        <v>1180284.0730010732</v>
      </c>
      <c r="G366" s="232">
        <v>1556000</v>
      </c>
      <c r="H366" s="232">
        <v>2510000</v>
      </c>
      <c r="I366" s="232">
        <v>350000</v>
      </c>
      <c r="J366" s="232">
        <v>227000</v>
      </c>
      <c r="K366" s="232">
        <v>307000</v>
      </c>
      <c r="L366" s="232">
        <v>835000</v>
      </c>
      <c r="M366" s="232"/>
      <c r="N366" s="232"/>
      <c r="O366" s="232"/>
    </row>
    <row r="367" spans="1:15" x14ac:dyDescent="0.2">
      <c r="A367" t="s">
        <v>295</v>
      </c>
      <c r="B367" s="231">
        <v>15120403.348746737</v>
      </c>
      <c r="C367" s="231">
        <v>1517281</v>
      </c>
      <c r="D367" s="231">
        <v>8714023</v>
      </c>
      <c r="E367" s="231">
        <v>109385.25999999978</v>
      </c>
      <c r="F367" s="232">
        <v>2918226.6482546669</v>
      </c>
      <c r="G367" s="232">
        <v>1733000</v>
      </c>
      <c r="H367" s="232">
        <v>2444000</v>
      </c>
      <c r="I367" s="232">
        <v>664000</v>
      </c>
      <c r="J367" s="232">
        <v>353000</v>
      </c>
      <c r="K367" s="232">
        <v>267000</v>
      </c>
      <c r="L367" s="232">
        <v>130000</v>
      </c>
      <c r="M367" s="232">
        <v>90000</v>
      </c>
      <c r="N367" s="232">
        <v>57000</v>
      </c>
      <c r="O367" s="232"/>
    </row>
    <row r="368" spans="1:15" x14ac:dyDescent="0.2">
      <c r="A368" t="s">
        <v>349</v>
      </c>
      <c r="B368" s="231">
        <v>29226715.90470396</v>
      </c>
      <c r="C368" s="231">
        <v>2869556</v>
      </c>
      <c r="D368" s="231">
        <v>20105272</v>
      </c>
      <c r="E368" s="231">
        <v>214119.43999999762</v>
      </c>
      <c r="F368" s="232">
        <v>8463362.5525683537</v>
      </c>
      <c r="G368" s="232">
        <v>2925000</v>
      </c>
      <c r="H368" s="232">
        <v>3554000</v>
      </c>
      <c r="I368" s="232">
        <v>849000</v>
      </c>
      <c r="J368" s="232">
        <v>647000</v>
      </c>
      <c r="K368" s="232">
        <v>0</v>
      </c>
      <c r="L368" s="232">
        <v>28000</v>
      </c>
      <c r="M368" s="232"/>
      <c r="N368" s="232">
        <v>134000</v>
      </c>
      <c r="O368" s="232"/>
    </row>
    <row r="369" spans="1:15" x14ac:dyDescent="0.2">
      <c r="A369" t="s">
        <v>427</v>
      </c>
      <c r="B369" s="231">
        <v>13729549.245256171</v>
      </c>
      <c r="C369" s="231">
        <v>1445489</v>
      </c>
      <c r="D369" s="231">
        <v>6192283</v>
      </c>
      <c r="E369" s="231">
        <v>113895.25999999791</v>
      </c>
      <c r="F369" s="232">
        <v>2685508.8912077686</v>
      </c>
      <c r="G369" s="232">
        <v>2378000</v>
      </c>
      <c r="H369" s="232">
        <v>3118000</v>
      </c>
      <c r="I369" s="232">
        <v>496000</v>
      </c>
      <c r="J369" s="232">
        <v>379000</v>
      </c>
      <c r="K369" s="232">
        <v>330000</v>
      </c>
      <c r="L369" s="232">
        <v>303000</v>
      </c>
      <c r="M369" s="232">
        <v>400000</v>
      </c>
      <c r="N369" s="232"/>
      <c r="O369" s="232"/>
    </row>
    <row r="370" spans="1:15" x14ac:dyDescent="0.2">
      <c r="A370" t="s">
        <v>376</v>
      </c>
      <c r="B370" s="231">
        <v>15176280.422820291</v>
      </c>
      <c r="C370" s="231">
        <v>1249404</v>
      </c>
      <c r="D370" s="231">
        <v>10077840</v>
      </c>
      <c r="E370" s="231">
        <v>89716.680000001565</v>
      </c>
      <c r="F370" s="232">
        <v>2982487.6907832432</v>
      </c>
      <c r="G370" s="232">
        <v>2009000</v>
      </c>
      <c r="H370" s="232">
        <v>2096000</v>
      </c>
      <c r="I370" s="232">
        <v>422000</v>
      </c>
      <c r="J370" s="232">
        <v>370000</v>
      </c>
      <c r="K370" s="232">
        <v>111000</v>
      </c>
      <c r="L370" s="232">
        <v>20000</v>
      </c>
      <c r="M370" s="232"/>
      <c r="N370" s="232"/>
      <c r="O370" s="232">
        <v>16000</v>
      </c>
    </row>
    <row r="371" spans="1:15" x14ac:dyDescent="0.2">
      <c r="A371" t="s">
        <v>250</v>
      </c>
      <c r="B371" s="231">
        <v>11423307.846982922</v>
      </c>
      <c r="C371" s="231">
        <v>1004140</v>
      </c>
      <c r="D371" s="231">
        <v>7739878</v>
      </c>
      <c r="E371" s="231">
        <v>110221.22000000253</v>
      </c>
      <c r="F371" s="232">
        <v>3249820.6580522582</v>
      </c>
      <c r="G371" s="232">
        <v>1536000</v>
      </c>
      <c r="H371" s="232">
        <v>1313000</v>
      </c>
      <c r="I371" s="232">
        <v>388000</v>
      </c>
      <c r="J371" s="232">
        <v>263000</v>
      </c>
      <c r="K371" s="232">
        <v>164000</v>
      </c>
      <c r="L371" s="232"/>
      <c r="M371" s="232"/>
      <c r="N371" s="232">
        <v>35000</v>
      </c>
      <c r="O371" s="232"/>
    </row>
    <row r="372" spans="1:15" x14ac:dyDescent="0.2">
      <c r="A372" t="s">
        <v>350</v>
      </c>
      <c r="B372" s="231">
        <v>23808690.263198722</v>
      </c>
      <c r="C372" s="231">
        <v>2714859</v>
      </c>
      <c r="D372" s="231">
        <v>19736638</v>
      </c>
      <c r="E372" s="231">
        <v>364825.13999999687</v>
      </c>
      <c r="F372" s="232">
        <v>7383768.049890615</v>
      </c>
      <c r="G372" s="232">
        <v>2557000</v>
      </c>
      <c r="H372" s="232">
        <v>3721000</v>
      </c>
      <c r="I372" s="232">
        <v>457000</v>
      </c>
      <c r="J372" s="232">
        <v>406000</v>
      </c>
      <c r="K372" s="232">
        <v>210000</v>
      </c>
      <c r="L372" s="232">
        <v>791000</v>
      </c>
      <c r="M372" s="232">
        <v>55000</v>
      </c>
      <c r="N372" s="232">
        <v>105000</v>
      </c>
      <c r="O372" s="232"/>
    </row>
    <row r="373" spans="1:15" x14ac:dyDescent="0.2">
      <c r="A373" t="s">
        <v>571</v>
      </c>
      <c r="B373" s="231">
        <v>14627968.030107116</v>
      </c>
      <c r="C373" s="231">
        <v>1675133</v>
      </c>
      <c r="D373" s="231">
        <v>10010930</v>
      </c>
      <c r="E373" s="231">
        <v>106045.32000000216</v>
      </c>
      <c r="F373" s="232">
        <v>3456990.5486052157</v>
      </c>
      <c r="G373" s="232">
        <v>2460000</v>
      </c>
      <c r="H373" s="232">
        <v>1843000</v>
      </c>
      <c r="I373" s="232">
        <v>359000</v>
      </c>
      <c r="J373" s="232">
        <v>392000</v>
      </c>
      <c r="K373" s="232">
        <v>96000</v>
      </c>
      <c r="L373" s="232">
        <v>270000</v>
      </c>
      <c r="M373" s="232">
        <v>35000</v>
      </c>
      <c r="N373" s="232"/>
      <c r="O373" s="232"/>
    </row>
    <row r="374" spans="1:15" x14ac:dyDescent="0.2">
      <c r="A374" t="s">
        <v>377</v>
      </c>
      <c r="B374" s="231">
        <v>37538840.91283033</v>
      </c>
      <c r="C374" s="231">
        <v>2964051</v>
      </c>
      <c r="D374" s="231">
        <v>21107400</v>
      </c>
      <c r="E374" s="231">
        <v>177971.06000000238</v>
      </c>
      <c r="F374" s="232">
        <v>6685872.397152937</v>
      </c>
      <c r="G374" s="232">
        <v>4093000</v>
      </c>
      <c r="H374" s="232">
        <v>3892000</v>
      </c>
      <c r="I374" s="232">
        <v>1027000</v>
      </c>
      <c r="J374" s="232">
        <v>790000</v>
      </c>
      <c r="K374" s="232">
        <v>704000</v>
      </c>
      <c r="L374" s="232">
        <v>50000</v>
      </c>
      <c r="M374" s="232"/>
      <c r="N374" s="232"/>
      <c r="O374" s="232">
        <v>1922000</v>
      </c>
    </row>
    <row r="375" spans="1:15" x14ac:dyDescent="0.2">
      <c r="A375" t="s">
        <v>428</v>
      </c>
      <c r="B375" s="231">
        <v>11370270.058312459</v>
      </c>
      <c r="C375" s="231">
        <v>1105681</v>
      </c>
      <c r="D375" s="231">
        <v>5156691</v>
      </c>
      <c r="E375" s="231">
        <v>128150.08000000007</v>
      </c>
      <c r="F375" s="232">
        <v>3026590.8213646822</v>
      </c>
      <c r="G375" s="232">
        <v>1704000</v>
      </c>
      <c r="H375" s="232">
        <v>1436000</v>
      </c>
      <c r="I375" s="232">
        <v>369000</v>
      </c>
      <c r="J375" s="232">
        <v>277000</v>
      </c>
      <c r="K375" s="232">
        <v>176000</v>
      </c>
      <c r="L375" s="232"/>
      <c r="M375" s="232">
        <v>11000</v>
      </c>
      <c r="N375" s="232"/>
      <c r="O375" s="232"/>
    </row>
    <row r="376" spans="1:15" x14ac:dyDescent="0.2">
      <c r="A376" t="s">
        <v>378</v>
      </c>
      <c r="B376" s="231">
        <v>7535901.931020448</v>
      </c>
      <c r="C376" s="231">
        <v>800589</v>
      </c>
      <c r="D376" s="231">
        <v>4806773</v>
      </c>
      <c r="E376" s="231">
        <v>65931.5</v>
      </c>
      <c r="F376" s="232">
        <v>887940.24003949587</v>
      </c>
      <c r="G376" s="232">
        <v>935000</v>
      </c>
      <c r="H376" s="232">
        <v>865000</v>
      </c>
      <c r="I376" s="232">
        <v>276000</v>
      </c>
      <c r="J376" s="232">
        <v>202000</v>
      </c>
      <c r="K376" s="232">
        <v>137000</v>
      </c>
      <c r="L376" s="232">
        <v>176000</v>
      </c>
      <c r="M376" s="232"/>
      <c r="N376" s="232"/>
      <c r="O376" s="232"/>
    </row>
    <row r="377" spans="1:15" x14ac:dyDescent="0.2">
      <c r="A377" t="s">
        <v>572</v>
      </c>
      <c r="B377" s="231">
        <v>9120716.4367563277</v>
      </c>
      <c r="C377" s="231">
        <v>972342</v>
      </c>
      <c r="D377" s="231">
        <v>5962771</v>
      </c>
      <c r="E377" s="231">
        <v>172237.58999999985</v>
      </c>
      <c r="F377" s="232">
        <v>1231013.9585555347</v>
      </c>
      <c r="G377" s="232">
        <v>1131000</v>
      </c>
      <c r="H377" s="232">
        <v>1612000</v>
      </c>
      <c r="I377" s="232">
        <v>310000</v>
      </c>
      <c r="J377" s="232">
        <v>210000</v>
      </c>
      <c r="K377" s="232">
        <v>198000</v>
      </c>
      <c r="L377" s="232">
        <v>53000</v>
      </c>
      <c r="M377" s="232"/>
      <c r="N377" s="232"/>
      <c r="O377" s="232"/>
    </row>
    <row r="378" spans="1:15" x14ac:dyDescent="0.2">
      <c r="A378" t="s">
        <v>429</v>
      </c>
      <c r="B378" s="231">
        <v>135111275.33483431</v>
      </c>
      <c r="C378" s="231">
        <v>11493078</v>
      </c>
      <c r="D378" s="231">
        <v>74531077</v>
      </c>
      <c r="E378" s="231">
        <v>6490440.8600000143</v>
      </c>
      <c r="F378" s="232">
        <v>57326333.561661765</v>
      </c>
      <c r="G378" s="232">
        <v>17988000</v>
      </c>
      <c r="H378" s="232">
        <v>21087000</v>
      </c>
      <c r="I378" s="232">
        <v>4470000</v>
      </c>
      <c r="J378" s="232">
        <v>2183000</v>
      </c>
      <c r="K378" s="232">
        <v>938000</v>
      </c>
      <c r="L378" s="232">
        <v>231000</v>
      </c>
      <c r="M378" s="232"/>
      <c r="N378" s="232">
        <v>345000</v>
      </c>
      <c r="O378" s="232">
        <v>3361000</v>
      </c>
    </row>
    <row r="379" spans="1:15" x14ac:dyDescent="0.2">
      <c r="A379" t="s">
        <v>351</v>
      </c>
      <c r="B379" s="231">
        <v>19050381.800866913</v>
      </c>
      <c r="C379" s="231">
        <v>1684097</v>
      </c>
      <c r="D379" s="231">
        <v>11106562</v>
      </c>
      <c r="E379" s="231">
        <v>570610.10000000149</v>
      </c>
      <c r="F379" s="232">
        <v>3748697.5641010934</v>
      </c>
      <c r="G379" s="232">
        <v>0</v>
      </c>
      <c r="H379" s="232">
        <v>3908000</v>
      </c>
      <c r="I379" s="232">
        <v>835000</v>
      </c>
      <c r="J379" s="232">
        <v>421000</v>
      </c>
      <c r="K379" s="232">
        <v>542000</v>
      </c>
      <c r="L379" s="232">
        <v>172000</v>
      </c>
      <c r="M379" s="232"/>
      <c r="N379" s="232"/>
      <c r="O379" s="232">
        <v>716000</v>
      </c>
    </row>
    <row r="380" spans="1:15" x14ac:dyDescent="0.2">
      <c r="A380" t="s">
        <v>430</v>
      </c>
      <c r="B380" s="231">
        <v>12848971.475315763</v>
      </c>
      <c r="C380" s="231">
        <v>1715468</v>
      </c>
      <c r="D380" s="231">
        <v>5868191</v>
      </c>
      <c r="E380" s="231">
        <v>72739.720000000671</v>
      </c>
      <c r="F380" s="232">
        <v>5307819.6683879774</v>
      </c>
      <c r="G380" s="232">
        <v>1934000</v>
      </c>
      <c r="H380" s="232">
        <v>2170000</v>
      </c>
      <c r="I380" s="232">
        <v>98000</v>
      </c>
      <c r="J380" s="232">
        <v>239000</v>
      </c>
      <c r="K380" s="232">
        <v>302000</v>
      </c>
      <c r="L380" s="232">
        <v>1868000</v>
      </c>
      <c r="M380" s="232">
        <v>515000</v>
      </c>
      <c r="N380" s="232"/>
      <c r="O380" s="232">
        <v>4204000</v>
      </c>
    </row>
    <row r="381" spans="1:15" x14ac:dyDescent="0.2">
      <c r="A381" t="s">
        <v>491</v>
      </c>
      <c r="B381" s="231">
        <v>8718722.7903656568</v>
      </c>
      <c r="C381" s="231">
        <v>864616</v>
      </c>
      <c r="D381" s="231">
        <v>4091112</v>
      </c>
      <c r="E381" s="231">
        <v>153905.93999999948</v>
      </c>
      <c r="F381" s="232">
        <v>949555.2860836552</v>
      </c>
      <c r="G381" s="232">
        <v>1063000</v>
      </c>
      <c r="H381" s="232">
        <v>1401000</v>
      </c>
      <c r="I381" s="232">
        <v>380000</v>
      </c>
      <c r="J381" s="232">
        <v>216000</v>
      </c>
      <c r="K381" s="232">
        <v>232000</v>
      </c>
      <c r="L381" s="232">
        <v>65000</v>
      </c>
      <c r="M381" s="232"/>
      <c r="N381" s="232"/>
      <c r="O381" s="232"/>
    </row>
    <row r="382" spans="1:15" x14ac:dyDescent="0.2">
      <c r="A382" t="s">
        <v>431</v>
      </c>
      <c r="B382" s="231">
        <v>5336164.3393069776</v>
      </c>
      <c r="C382" s="231">
        <v>355944</v>
      </c>
      <c r="D382" s="231">
        <v>1891520</v>
      </c>
      <c r="E382" s="231">
        <v>71556.900000000373</v>
      </c>
      <c r="F382" s="232">
        <v>639347</v>
      </c>
      <c r="G382" s="232">
        <v>658000</v>
      </c>
      <c r="H382" s="232">
        <v>772000</v>
      </c>
      <c r="I382" s="232">
        <v>98000</v>
      </c>
      <c r="J382" s="232">
        <v>108000</v>
      </c>
      <c r="K382" s="232">
        <v>69000</v>
      </c>
      <c r="L382" s="232">
        <v>54000</v>
      </c>
      <c r="M382" s="232"/>
      <c r="N382" s="232"/>
      <c r="O382" s="232"/>
    </row>
    <row r="383" spans="1:15" x14ac:dyDescent="0.2">
      <c r="A383" t="s">
        <v>611</v>
      </c>
      <c r="B383" s="231">
        <v>15743736.310472775</v>
      </c>
      <c r="C383" s="231">
        <v>853173</v>
      </c>
      <c r="D383" s="231">
        <v>7978716</v>
      </c>
      <c r="E383" s="231">
        <v>177594.27999999747</v>
      </c>
      <c r="F383" s="232">
        <v>3526786.9544678587</v>
      </c>
      <c r="G383" s="232">
        <v>1973000</v>
      </c>
      <c r="H383" s="232">
        <v>982000</v>
      </c>
      <c r="I383" s="232">
        <v>705000</v>
      </c>
      <c r="J383" s="232">
        <v>338000</v>
      </c>
      <c r="K383" s="232">
        <v>75000</v>
      </c>
      <c r="L383" s="232">
        <v>1326000</v>
      </c>
      <c r="M383" s="232">
        <v>300000</v>
      </c>
      <c r="N383" s="232"/>
      <c r="O383" s="232"/>
    </row>
    <row r="384" spans="1:15" x14ac:dyDescent="0.2">
      <c r="A384" t="s">
        <v>379</v>
      </c>
      <c r="B384" s="231">
        <v>47489392.907748029</v>
      </c>
      <c r="C384" s="231">
        <v>4930441</v>
      </c>
      <c r="D384" s="231">
        <v>32549740</v>
      </c>
      <c r="E384" s="231">
        <v>294211.92000000179</v>
      </c>
      <c r="F384" s="232">
        <v>14314029.173681801</v>
      </c>
      <c r="G384" s="232">
        <v>5039000</v>
      </c>
      <c r="H384" s="232">
        <v>4032000</v>
      </c>
      <c r="I384" s="232">
        <v>2793000</v>
      </c>
      <c r="J384" s="232">
        <v>1371000</v>
      </c>
      <c r="K384" s="232">
        <v>1122000</v>
      </c>
      <c r="L384" s="232">
        <v>310000</v>
      </c>
      <c r="M384" s="232"/>
      <c r="N384" s="232">
        <v>233000</v>
      </c>
      <c r="O384" s="232">
        <v>3718000</v>
      </c>
    </row>
    <row r="385" spans="1:15" x14ac:dyDescent="0.2">
      <c r="A385" t="s">
        <v>352</v>
      </c>
      <c r="B385" s="231">
        <v>24547870.04702805</v>
      </c>
      <c r="C385" s="231">
        <v>2787531</v>
      </c>
      <c r="D385" s="231">
        <v>17027837</v>
      </c>
      <c r="E385" s="231">
        <v>111893.26000000536</v>
      </c>
      <c r="F385" s="232">
        <v>7727663.3972432027</v>
      </c>
      <c r="G385" s="232">
        <v>1688000</v>
      </c>
      <c r="H385" s="232">
        <v>3082000</v>
      </c>
      <c r="I385" s="232">
        <v>340000</v>
      </c>
      <c r="J385" s="232">
        <v>449000</v>
      </c>
      <c r="K385" s="232">
        <v>134000</v>
      </c>
      <c r="L385" s="232">
        <v>284000</v>
      </c>
      <c r="M385" s="232">
        <v>10000</v>
      </c>
      <c r="N385" s="232">
        <v>111000</v>
      </c>
      <c r="O385" s="232">
        <v>1117000</v>
      </c>
    </row>
    <row r="386" spans="1:15" x14ac:dyDescent="0.2">
      <c r="A386" t="s">
        <v>492</v>
      </c>
      <c r="B386" s="231">
        <v>106834475.12629497</v>
      </c>
      <c r="C386" s="231">
        <v>8012812</v>
      </c>
      <c r="D386" s="231">
        <v>59270295</v>
      </c>
      <c r="E386" s="231">
        <v>1067088.6999999881</v>
      </c>
      <c r="F386" s="232">
        <v>47123119.732092157</v>
      </c>
      <c r="G386" s="232">
        <v>13841000</v>
      </c>
      <c r="H386" s="232">
        <v>5699000</v>
      </c>
      <c r="I386" s="232">
        <v>417000</v>
      </c>
      <c r="J386" s="232">
        <v>2019000</v>
      </c>
      <c r="K386" s="232">
        <v>779000</v>
      </c>
      <c r="L386" s="232">
        <v>223000</v>
      </c>
      <c r="M386" s="232"/>
      <c r="N386" s="232"/>
      <c r="O386" s="232">
        <v>1603000</v>
      </c>
    </row>
    <row r="387" spans="1:15" x14ac:dyDescent="0.2">
      <c r="A387" t="s">
        <v>493</v>
      </c>
      <c r="B387" s="231">
        <v>4985982.6542305592</v>
      </c>
      <c r="C387" s="231">
        <v>588474</v>
      </c>
      <c r="D387" s="231">
        <v>3245640</v>
      </c>
      <c r="E387" s="231">
        <v>70390.88000000082</v>
      </c>
      <c r="F387" s="232">
        <v>803652.606881905</v>
      </c>
      <c r="G387" s="232">
        <v>721000</v>
      </c>
      <c r="H387" s="232">
        <v>1041000</v>
      </c>
      <c r="I387" s="232">
        <v>150000</v>
      </c>
      <c r="J387" s="232">
        <v>135000</v>
      </c>
      <c r="K387" s="232">
        <v>5000</v>
      </c>
      <c r="L387" s="232"/>
      <c r="M387" s="232"/>
      <c r="N387" s="232"/>
      <c r="O387" s="232"/>
    </row>
    <row r="388" spans="1:15" x14ac:dyDescent="0.2">
      <c r="A388" t="s">
        <v>251</v>
      </c>
      <c r="B388" s="231">
        <v>13333396.470915962</v>
      </c>
      <c r="C388" s="231">
        <v>1221124</v>
      </c>
      <c r="D388" s="231">
        <v>9330077</v>
      </c>
      <c r="E388" s="231">
        <v>153030.1400000006</v>
      </c>
      <c r="F388" s="232">
        <v>2790794.6159001477</v>
      </c>
      <c r="G388" s="232">
        <v>1462000</v>
      </c>
      <c r="H388" s="232">
        <v>1351000</v>
      </c>
      <c r="I388" s="232">
        <v>471000</v>
      </c>
      <c r="J388" s="232">
        <v>259000</v>
      </c>
      <c r="K388" s="232">
        <v>165000</v>
      </c>
      <c r="L388" s="232"/>
      <c r="M388" s="232"/>
      <c r="N388" s="232"/>
      <c r="O388" s="232"/>
    </row>
    <row r="389" spans="1:15" x14ac:dyDescent="0.2">
      <c r="A389" t="s">
        <v>494</v>
      </c>
      <c r="B389" s="231">
        <v>27112707.650872234</v>
      </c>
      <c r="C389" s="231">
        <v>2146724</v>
      </c>
      <c r="D389" s="231">
        <v>14158268</v>
      </c>
      <c r="E389" s="231">
        <v>218535.60000000522</v>
      </c>
      <c r="F389" s="232">
        <v>7040277.0395508148</v>
      </c>
      <c r="G389" s="232">
        <v>4573000</v>
      </c>
      <c r="H389" s="232">
        <v>4185000</v>
      </c>
      <c r="I389" s="232">
        <v>495000</v>
      </c>
      <c r="J389" s="232">
        <v>571000</v>
      </c>
      <c r="K389" s="232">
        <v>605000</v>
      </c>
      <c r="L389" s="232">
        <v>82000</v>
      </c>
      <c r="M389" s="232">
        <v>53000</v>
      </c>
      <c r="N389" s="232"/>
      <c r="O389" s="232"/>
    </row>
    <row r="390" spans="1:15" x14ac:dyDescent="0.2">
      <c r="A390" t="s">
        <v>573</v>
      </c>
      <c r="B390" s="231">
        <v>13353350.59540716</v>
      </c>
      <c r="C390" s="231">
        <v>1838206</v>
      </c>
      <c r="D390" s="231">
        <v>9851850</v>
      </c>
      <c r="E390" s="231">
        <v>124623.75999999978</v>
      </c>
      <c r="F390" s="232">
        <v>2081041.6389165665</v>
      </c>
      <c r="G390" s="232">
        <v>1331000</v>
      </c>
      <c r="H390" s="232">
        <v>2326000</v>
      </c>
      <c r="I390" s="232">
        <v>439000</v>
      </c>
      <c r="J390" s="232">
        <v>279000</v>
      </c>
      <c r="K390" s="232">
        <v>2000</v>
      </c>
      <c r="L390" s="232">
        <v>229000</v>
      </c>
      <c r="M390" s="232">
        <v>16000</v>
      </c>
      <c r="N390" s="232"/>
      <c r="O390" s="232"/>
    </row>
    <row r="391" spans="1:15" x14ac:dyDescent="0.2">
      <c r="A391" t="s">
        <v>353</v>
      </c>
      <c r="B391" s="231">
        <v>41911361.291108742</v>
      </c>
      <c r="C391" s="231">
        <v>4062351</v>
      </c>
      <c r="D391" s="231">
        <v>38831443</v>
      </c>
      <c r="E391" s="231">
        <v>242313.78000000119</v>
      </c>
      <c r="F391" s="232">
        <v>16610357.714024866</v>
      </c>
      <c r="G391" s="232">
        <v>4981000</v>
      </c>
      <c r="H391" s="232">
        <v>3821000</v>
      </c>
      <c r="I391" s="232">
        <v>1151000</v>
      </c>
      <c r="J391" s="232">
        <v>854000</v>
      </c>
      <c r="K391" s="232">
        <v>389000</v>
      </c>
      <c r="L391" s="232">
        <v>112000</v>
      </c>
      <c r="M391" s="232"/>
      <c r="N391" s="232"/>
      <c r="O391" s="232">
        <v>2069000</v>
      </c>
    </row>
    <row r="392" spans="1:15" x14ac:dyDescent="0.2">
      <c r="A392" t="s">
        <v>296</v>
      </c>
      <c r="B392" s="231">
        <v>14820654.955137243</v>
      </c>
      <c r="C392" s="231">
        <v>1261625</v>
      </c>
      <c r="D392" s="231">
        <v>10283020</v>
      </c>
      <c r="E392" s="231">
        <v>392211.54000000097</v>
      </c>
      <c r="F392" s="232">
        <v>2920607.0596165024</v>
      </c>
      <c r="G392" s="232">
        <v>1687000</v>
      </c>
      <c r="H392" s="232">
        <v>2328000</v>
      </c>
      <c r="I392" s="232">
        <v>764000</v>
      </c>
      <c r="J392" s="232">
        <v>314000</v>
      </c>
      <c r="K392" s="232">
        <v>352000</v>
      </c>
      <c r="L392" s="232">
        <v>41000</v>
      </c>
      <c r="M392" s="232">
        <v>22000</v>
      </c>
      <c r="N392" s="232"/>
      <c r="O392" s="232"/>
    </row>
    <row r="393" spans="1:15" x14ac:dyDescent="0.2">
      <c r="A393" t="s">
        <v>495</v>
      </c>
      <c r="B393" s="231">
        <v>37573923.948458776</v>
      </c>
      <c r="C393" s="231">
        <v>3971551</v>
      </c>
      <c r="D393" s="231">
        <v>21620859</v>
      </c>
      <c r="E393" s="231">
        <v>309093.79999999702</v>
      </c>
      <c r="F393" s="232">
        <v>13925518.240337018</v>
      </c>
      <c r="G393" s="232">
        <v>5569000</v>
      </c>
      <c r="H393" s="232">
        <v>4576000</v>
      </c>
      <c r="I393" s="232">
        <v>350000</v>
      </c>
      <c r="J393" s="232">
        <v>647000</v>
      </c>
      <c r="K393" s="232">
        <v>699000</v>
      </c>
      <c r="L393" s="232"/>
      <c r="M393" s="232"/>
      <c r="N393" s="232"/>
      <c r="O393" s="232">
        <v>1400000</v>
      </c>
    </row>
    <row r="394" spans="1:15" x14ac:dyDescent="0.2">
      <c r="A394" t="s">
        <v>297</v>
      </c>
      <c r="B394" s="231">
        <v>103998657.65227832</v>
      </c>
      <c r="C394" s="231">
        <v>8304546</v>
      </c>
      <c r="D394" s="231">
        <v>122324610</v>
      </c>
      <c r="E394" s="231">
        <v>15655572.180000007</v>
      </c>
      <c r="F394" s="232">
        <v>42150123.835026987</v>
      </c>
      <c r="G394" s="232">
        <v>13415000</v>
      </c>
      <c r="H394" s="232">
        <v>6293000</v>
      </c>
      <c r="I394" s="232">
        <v>3058000</v>
      </c>
      <c r="J394" s="232">
        <v>2147000</v>
      </c>
      <c r="K394" s="232">
        <v>894000</v>
      </c>
      <c r="L394" s="232">
        <v>100000</v>
      </c>
      <c r="M394" s="232"/>
      <c r="N394" s="232"/>
      <c r="O394" s="232">
        <v>7420000</v>
      </c>
    </row>
    <row r="395" spans="1:15" x14ac:dyDescent="0.2">
      <c r="A395" t="s">
        <v>628</v>
      </c>
      <c r="B395" s="231">
        <f t="shared" ref="B395:O395" si="0">SUM(B2:B394)</f>
        <v>14809831377.737268</v>
      </c>
      <c r="C395" s="231">
        <f t="shared" si="0"/>
        <v>1257469999</v>
      </c>
      <c r="D395" s="231">
        <f t="shared" si="0"/>
        <v>10286340994</v>
      </c>
      <c r="E395" s="231">
        <f t="shared" si="0"/>
        <v>697755374.02999973</v>
      </c>
      <c r="F395" s="232">
        <f t="shared" si="0"/>
        <v>5495414108.9999943</v>
      </c>
      <c r="G395" s="232">
        <f t="shared" si="0"/>
        <v>1712303000</v>
      </c>
      <c r="H395" s="232">
        <f t="shared" si="0"/>
        <v>1519903000.0000002</v>
      </c>
      <c r="I395" s="232">
        <f t="shared" si="0"/>
        <v>382831999.99999994</v>
      </c>
      <c r="J395" s="232">
        <f t="shared" si="0"/>
        <v>286265000</v>
      </c>
      <c r="K395" s="232">
        <f t="shared" si="0"/>
        <v>112082000</v>
      </c>
      <c r="L395" s="232">
        <f t="shared" si="0"/>
        <v>164645000</v>
      </c>
      <c r="M395" s="232">
        <f t="shared" si="0"/>
        <v>25305000</v>
      </c>
      <c r="N395" s="232">
        <f t="shared" si="0"/>
        <v>21091000</v>
      </c>
      <c r="O395" s="232">
        <f t="shared" si="0"/>
        <v>653510000</v>
      </c>
    </row>
    <row r="407" spans="7:15" x14ac:dyDescent="0.2">
      <c r="G407" s="233"/>
      <c r="H407" s="233"/>
      <c r="I407" s="233"/>
      <c r="J407" s="233"/>
      <c r="K407" s="233"/>
      <c r="L407" s="233"/>
      <c r="M407" s="233"/>
      <c r="N407" s="233"/>
      <c r="O407" s="233"/>
    </row>
    <row r="411" spans="7:15" x14ac:dyDescent="0.2">
      <c r="G411" s="233"/>
      <c r="H411" s="233"/>
      <c r="I411" s="233"/>
      <c r="J411" s="233"/>
      <c r="K411" s="233"/>
      <c r="L411" s="233"/>
      <c r="M411" s="233"/>
      <c r="N411" s="233"/>
      <c r="O411" s="233"/>
    </row>
  </sheetData>
  <sheetProtection password="ABC0" sheet="1" objects="1" scenarios="1" selectLockedCells="1" selectUnlockedCells="1"/>
  <pageMargins left="0.7" right="0.7" top="0.75" bottom="0.75"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Macrogegevens</vt:lpstr>
      <vt:lpstr>Balansprognose</vt:lpstr>
      <vt:lpstr>Investeringen &amp; financiering</vt:lpstr>
      <vt:lpstr>Inkomsten &amp; uitgaven</vt:lpstr>
      <vt:lpstr>Data macrogegevens</vt:lpstr>
      <vt:lpstr>Data bouwgrond</vt:lpstr>
      <vt:lpstr>Data inkomsten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Houdbaarheidstest gemeentefinancien 2013</dc:title>
  <dc:creator>Jan van der Lei</dc:creator>
  <cp:keywords>Jan van der Lei</cp:keywords>
  <cp:lastModifiedBy>Jolanda van Ham-Becks</cp:lastModifiedBy>
  <dcterms:created xsi:type="dcterms:W3CDTF">2013-03-05T13:22:00Z</dcterms:created>
  <dcterms:modified xsi:type="dcterms:W3CDTF">2015-03-31T13:54:42Z</dcterms:modified>
</cp:coreProperties>
</file>